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U:\m-ga-projects02\47052\107\Documents for Filing\"/>
    </mc:Choice>
  </mc:AlternateContent>
  <xr:revisionPtr revIDLastSave="0" documentId="13_ncr:1_{07CE21BA-2C5D-4E5D-BACC-66BCD0BECBA9}" xr6:coauthVersionLast="47" xr6:coauthVersionMax="47" xr10:uidLastSave="{00000000-0000-0000-0000-000000000000}"/>
  <bookViews>
    <workbookView xWindow="-180" yWindow="-16380" windowWidth="29040" windowHeight="15720" tabRatio="828" xr2:uid="{00000000-000D-0000-FFFF-FFFF00000000}"/>
  </bookViews>
  <sheets>
    <sheet name="Workpaper page 1" sheetId="8" r:id="rId1"/>
    <sheet name="Workpaper page 2" sheetId="2" r:id="rId2"/>
    <sheet name="Workpaper page 3_CWIP_ISL" sheetId="5" r:id="rId3"/>
    <sheet name="Workpaper pg 3_In Serv Fcst_ISL" sheetId="10" r:id="rId4"/>
    <sheet name="Workpaper pg 4_Actuals_ISL" sheetId="9" r:id="rId5"/>
    <sheet name="Workpaper page 5 - FERC 242" sheetId="11" r:id="rId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'Workpaper page 1'!$A$1:$J$38</definedName>
    <definedName name="_xlnm.Print_Area" localSheetId="1">'Workpaper page 2'!$A$1:$F$27</definedName>
    <definedName name="_xlnm.Print_Area" localSheetId="2">'Workpaper page 3_CWIP_ISL'!$B$1:$P$26</definedName>
    <definedName name="_xlnm.Print_Area" localSheetId="4">'Workpaper pg 4_Actuals_ISL'!$A$1:$R$67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2" l="1"/>
  <c r="H27" i="2"/>
  <c r="T57" i="9"/>
  <c r="F26" i="2" l="1"/>
  <c r="F19" i="8" l="1"/>
  <c r="R33" i="9"/>
  <c r="R32" i="9"/>
  <c r="R31" i="9"/>
  <c r="R30" i="9"/>
  <c r="R63" i="9" l="1"/>
  <c r="R62" i="9"/>
  <c r="R61" i="9"/>
  <c r="V14" i="10"/>
  <c r="V13" i="10"/>
  <c r="V12" i="10"/>
  <c r="D18" i="11"/>
  <c r="F22" i="8"/>
  <c r="F16" i="8"/>
  <c r="R55" i="9" l="1"/>
  <c r="R54" i="9"/>
  <c r="R53" i="9"/>
  <c r="R52" i="9"/>
  <c r="R51" i="9"/>
  <c r="R50" i="9"/>
  <c r="R49" i="9"/>
  <c r="R48" i="9"/>
  <c r="R47" i="9"/>
  <c r="R46" i="9"/>
  <c r="R45" i="9"/>
  <c r="R44" i="9"/>
  <c r="F16" i="10"/>
  <c r="E16" i="10"/>
  <c r="C4" i="10" l="1"/>
  <c r="B3" i="9" l="1"/>
  <c r="A16" i="10"/>
  <c r="C29" i="11"/>
  <c r="C31" i="11" s="1"/>
  <c r="G22" i="8" l="1"/>
  <c r="V7" i="10" l="1"/>
  <c r="B3" i="10"/>
  <c r="F6" i="10"/>
  <c r="T7" i="10"/>
  <c r="S7" i="10"/>
  <c r="R7" i="10"/>
  <c r="Q7" i="10"/>
  <c r="P7" i="10"/>
  <c r="O7" i="10"/>
  <c r="N7" i="10"/>
  <c r="M7" i="10"/>
  <c r="L7" i="10"/>
  <c r="K7" i="10"/>
  <c r="J7" i="10"/>
  <c r="I7" i="10"/>
  <c r="P7" i="5"/>
  <c r="N7" i="5"/>
  <c r="M7" i="5"/>
  <c r="L7" i="5"/>
  <c r="K7" i="5"/>
  <c r="J7" i="5"/>
  <c r="I7" i="5"/>
  <c r="H7" i="5"/>
  <c r="G7" i="5"/>
  <c r="F7" i="5"/>
  <c r="E7" i="5"/>
  <c r="D7" i="5"/>
  <c r="C7" i="5"/>
  <c r="P8" i="9"/>
  <c r="O8" i="9"/>
  <c r="N8" i="9"/>
  <c r="M8" i="9"/>
  <c r="L8" i="9"/>
  <c r="K8" i="9"/>
  <c r="J8" i="9"/>
  <c r="I8" i="9"/>
  <c r="H8" i="9"/>
  <c r="G8" i="9"/>
  <c r="F8" i="9"/>
  <c r="E8" i="9"/>
  <c r="B3" i="5" l="1"/>
  <c r="P26" i="9"/>
  <c r="O41" i="9"/>
  <c r="N26" i="9"/>
  <c r="M41" i="9"/>
  <c r="L26" i="9"/>
  <c r="K26" i="9"/>
  <c r="J26" i="9"/>
  <c r="I41" i="9"/>
  <c r="H26" i="9"/>
  <c r="G41" i="9"/>
  <c r="F26" i="9"/>
  <c r="E26" i="9"/>
  <c r="T8" i="9"/>
  <c r="R8" i="9"/>
  <c r="R26" i="9" s="1"/>
  <c r="A41" i="9"/>
  <c r="A26" i="9"/>
  <c r="A10" i="9"/>
  <c r="P65" i="9"/>
  <c r="O65" i="9"/>
  <c r="N65" i="9"/>
  <c r="M65" i="9"/>
  <c r="L65" i="9"/>
  <c r="K65" i="9"/>
  <c r="J65" i="9"/>
  <c r="I65" i="9"/>
  <c r="H65" i="9"/>
  <c r="G65" i="9"/>
  <c r="F65" i="9"/>
  <c r="E65" i="9"/>
  <c r="R65" i="9"/>
  <c r="P57" i="9"/>
  <c r="O57" i="9"/>
  <c r="N57" i="9"/>
  <c r="M57" i="9"/>
  <c r="L57" i="9"/>
  <c r="K57" i="9"/>
  <c r="J57" i="9"/>
  <c r="I57" i="9"/>
  <c r="H57" i="9"/>
  <c r="G57" i="9"/>
  <c r="F57" i="9"/>
  <c r="E57" i="9"/>
  <c r="P35" i="9"/>
  <c r="P37" i="9" s="1"/>
  <c r="O35" i="9"/>
  <c r="O37" i="9" s="1"/>
  <c r="N35" i="9"/>
  <c r="N37" i="9" s="1"/>
  <c r="M35" i="9"/>
  <c r="M37" i="9" s="1"/>
  <c r="L35" i="9"/>
  <c r="L37" i="9" s="1"/>
  <c r="K35" i="9"/>
  <c r="K37" i="9" s="1"/>
  <c r="J35" i="9"/>
  <c r="J37" i="9" s="1"/>
  <c r="I35" i="9"/>
  <c r="I37" i="9" s="1"/>
  <c r="H35" i="9"/>
  <c r="H37" i="9" s="1"/>
  <c r="G35" i="9"/>
  <c r="G37" i="9" s="1"/>
  <c r="F35" i="9"/>
  <c r="F37" i="9" s="1"/>
  <c r="E35" i="9"/>
  <c r="E37" i="9" s="1"/>
  <c r="R35" i="9"/>
  <c r="R37" i="9" s="1"/>
  <c r="U37" i="9" s="1"/>
  <c r="P22" i="9"/>
  <c r="O22" i="9"/>
  <c r="N22" i="9"/>
  <c r="M22" i="9"/>
  <c r="L22" i="9"/>
  <c r="K22" i="9"/>
  <c r="J22" i="9"/>
  <c r="I22" i="9"/>
  <c r="H22" i="9"/>
  <c r="G22" i="9"/>
  <c r="F22" i="9"/>
  <c r="E22" i="9"/>
  <c r="P16" i="9"/>
  <c r="O16" i="9"/>
  <c r="N16" i="9"/>
  <c r="M16" i="9"/>
  <c r="L16" i="9"/>
  <c r="K16" i="9"/>
  <c r="J16" i="9"/>
  <c r="I16" i="9"/>
  <c r="H16" i="9"/>
  <c r="G16" i="9"/>
  <c r="F16" i="9"/>
  <c r="E16" i="9"/>
  <c r="R14" i="9"/>
  <c r="R13" i="9"/>
  <c r="S16" i="10"/>
  <c r="R16" i="10"/>
  <c r="Q16" i="10"/>
  <c r="O16" i="10"/>
  <c r="L16" i="10"/>
  <c r="K16" i="10"/>
  <c r="J16" i="10"/>
  <c r="I16" i="10"/>
  <c r="N26" i="5"/>
  <c r="M26" i="5"/>
  <c r="L26" i="5"/>
  <c r="K26" i="5"/>
  <c r="J26" i="5"/>
  <c r="I26" i="5"/>
  <c r="H26" i="5"/>
  <c r="G26" i="5"/>
  <c r="F26" i="5"/>
  <c r="E26" i="5"/>
  <c r="D26" i="5"/>
  <c r="C26" i="5"/>
  <c r="F67" i="9" l="1"/>
  <c r="J67" i="9"/>
  <c r="N67" i="9"/>
  <c r="E67" i="9"/>
  <c r="I67" i="9"/>
  <c r="M67" i="9"/>
  <c r="J24" i="9"/>
  <c r="N24" i="9"/>
  <c r="H67" i="9"/>
  <c r="L67" i="9"/>
  <c r="F24" i="9"/>
  <c r="R16" i="9"/>
  <c r="R57" i="9"/>
  <c r="R67" i="9" s="1"/>
  <c r="U67" i="9" s="1"/>
  <c r="K24" i="9"/>
  <c r="H24" i="9"/>
  <c r="P24" i="9"/>
  <c r="P67" i="9"/>
  <c r="G24" i="9"/>
  <c r="G67" i="9"/>
  <c r="K67" i="9"/>
  <c r="O67" i="9"/>
  <c r="P41" i="9"/>
  <c r="O26" i="9"/>
  <c r="N41" i="9"/>
  <c r="M26" i="9"/>
  <c r="L41" i="9"/>
  <c r="K41" i="9"/>
  <c r="J41" i="9"/>
  <c r="I26" i="9"/>
  <c r="H41" i="9"/>
  <c r="G26" i="9"/>
  <c r="F41" i="9"/>
  <c r="E41" i="9"/>
  <c r="R41" i="9"/>
  <c r="L24" i="9"/>
  <c r="E24" i="9"/>
  <c r="M24" i="9"/>
  <c r="O24" i="9"/>
  <c r="I24" i="9"/>
  <c r="R22" i="9"/>
  <c r="V10" i="10"/>
  <c r="M16" i="10"/>
  <c r="P16" i="10"/>
  <c r="V11" i="10"/>
  <c r="N16" i="10"/>
  <c r="G16" i="10"/>
  <c r="P26" i="5"/>
  <c r="R24" i="9" l="1"/>
  <c r="U24" i="9" s="1"/>
  <c r="V9" i="10"/>
  <c r="V16" i="10" s="1"/>
  <c r="T16" i="10"/>
  <c r="F27" i="2" l="1"/>
  <c r="F21" i="2"/>
  <c r="E24" i="8"/>
  <c r="G23" i="8"/>
  <c r="G21" i="8"/>
  <c r="G20" i="8"/>
  <c r="G19" i="8"/>
  <c r="G18" i="8"/>
  <c r="G17" i="8"/>
  <c r="G15" i="8"/>
  <c r="A15" i="8"/>
  <c r="A16" i="8" s="1"/>
  <c r="A17" i="8" s="1"/>
  <c r="A18" i="8" s="1"/>
  <c r="A19" i="8" s="1"/>
  <c r="A20" i="8" s="1"/>
  <c r="E9" i="8"/>
  <c r="G9" i="8" s="1"/>
  <c r="A21" i="8" l="1"/>
  <c r="A24" i="8" s="1"/>
  <c r="A22" i="8"/>
  <c r="F24" i="8"/>
  <c r="G16" i="8"/>
  <c r="G24"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Millett, Jennifer</author>
    <author>Yarbrough, Kevin</author>
  </authors>
  <commentList>
    <comment ref="F14" authorId="0" shapeId="0" xr:uid="{00000000-0006-0000-0100-000001000000}">
      <text>
        <r>
          <rPr>
            <b/>
            <sz val="9"/>
            <color indexed="81"/>
            <rFont val="Tahoma"/>
            <family val="2"/>
          </rPr>
          <t>Millett, Jennifer:</t>
        </r>
        <r>
          <rPr>
            <sz val="9"/>
            <color indexed="81"/>
            <rFont val="Tahoma"/>
            <family val="2"/>
          </rPr>
          <t xml:space="preserve">
Excludes Intangible Plant for Transmission project
 </t>
        </r>
      </text>
    </comment>
    <comment ref="F19" authorId="1" shapeId="0" xr:uid="{7D3AD958-CFD1-4ADE-8814-B34727C9C8B3}">
      <text>
        <r>
          <rPr>
            <b/>
            <sz val="9"/>
            <color indexed="81"/>
            <rFont val="Tahoma"/>
            <family val="2"/>
          </rPr>
          <t>Yarbrough, Kevin:</t>
        </r>
        <r>
          <rPr>
            <sz val="9"/>
            <color indexed="81"/>
            <rFont val="Tahoma"/>
            <family val="2"/>
          </rPr>
          <t xml:space="preserve">
Includes $31,731 from FERC 362
</t>
        </r>
      </text>
    </comment>
    <comment ref="F26" authorId="0" shapeId="0" xr:uid="{5DFD6B56-FF9B-44C6-A8AC-453FCC3DD2B1}">
      <text>
        <r>
          <rPr>
            <b/>
            <sz val="9"/>
            <color indexed="81"/>
            <rFont val="Tahoma"/>
            <family val="2"/>
          </rPr>
          <t>Millett, Jennifer:</t>
        </r>
        <r>
          <rPr>
            <sz val="9"/>
            <color indexed="81"/>
            <rFont val="Tahoma"/>
            <family val="2"/>
          </rPr>
          <t xml:space="preserve">
Excludes Intangible Plant of $232,322.13</t>
        </r>
      </text>
    </comment>
  </commentList>
</comments>
</file>

<file path=xl/sharedStrings.xml><?xml version="1.0" encoding="utf-8"?>
<sst xmlns="http://schemas.openxmlformats.org/spreadsheetml/2006/main" count="240" uniqueCount="182">
  <si>
    <t>Old Dominion Electric Cooperative</t>
  </si>
  <si>
    <t>Form 1</t>
  </si>
  <si>
    <t>Transmission O&amp;M</t>
  </si>
  <si>
    <t>Adjs.</t>
  </si>
  <si>
    <t>Adjusted</t>
  </si>
  <si>
    <t>Reference</t>
  </si>
  <si>
    <t>Pg. 321.96.b</t>
  </si>
  <si>
    <t>Source of Adjustments</t>
  </si>
  <si>
    <t>Note 1</t>
  </si>
  <si>
    <t>Pg. 321.93.b</t>
  </si>
  <si>
    <t>Net Transmission O&amp;M in Template</t>
  </si>
  <si>
    <t>Notes:</t>
  </si>
  <si>
    <t>template ln. 66</t>
  </si>
  <si>
    <t>Expense Items</t>
  </si>
  <si>
    <t>(Template Entries)</t>
  </si>
  <si>
    <t>Clover</t>
  </si>
  <si>
    <t>North Anna</t>
  </si>
  <si>
    <t>Asset Balance</t>
  </si>
  <si>
    <t>Removed per formula</t>
  </si>
  <si>
    <t>Description</t>
  </si>
  <si>
    <t>Line</t>
  </si>
  <si>
    <t>No.</t>
  </si>
  <si>
    <t>(a)</t>
  </si>
  <si>
    <t>(b)</t>
  </si>
  <si>
    <t>(c)</t>
  </si>
  <si>
    <t>(d)</t>
  </si>
  <si>
    <t>(e)</t>
  </si>
  <si>
    <t>(f)</t>
  </si>
  <si>
    <t>(g)</t>
  </si>
  <si>
    <t>Template Workpapers</t>
  </si>
  <si>
    <t>Transmission Account Balances</t>
  </si>
  <si>
    <t>ODEC- Static Var</t>
  </si>
  <si>
    <t>Excluded Facilities:</t>
  </si>
  <si>
    <t>Included Facilities:</t>
  </si>
  <si>
    <t>Transmission Original Cost Workpaper for</t>
  </si>
  <si>
    <t>Excluded Plant Cost Support</t>
  </si>
  <si>
    <t>Attachment 5 - Line 149</t>
  </si>
  <si>
    <t>Eastern Shore Facilities</t>
  </si>
  <si>
    <t>Total Excluded Facilities</t>
  </si>
  <si>
    <t>Total Included Facilities (template line 150)</t>
  </si>
  <si>
    <t>Pg. 321.88.b</t>
  </si>
  <si>
    <t>(560) Operation Supervision and Engineering</t>
  </si>
  <si>
    <t>Pg. 321.83.b</t>
  </si>
  <si>
    <t>(561.4) Scheduling, Sys Control and Dispatch</t>
  </si>
  <si>
    <t>(561.7) Generation Interconnection Studies</t>
  </si>
  <si>
    <t>Pg. 321.91.b</t>
  </si>
  <si>
    <t>(561.8) Reliability, Planning and Standards Development</t>
  </si>
  <si>
    <t>Pg. 321.92.b</t>
  </si>
  <si>
    <t>(562) Station Expenses</t>
  </si>
  <si>
    <t>(563) Overhead Lines Expenses</t>
  </si>
  <si>
    <t>Pg. 321.94.b</t>
  </si>
  <si>
    <t>(564) Underground Lines Expenses</t>
  </si>
  <si>
    <t>Pg. 321.95.b</t>
  </si>
  <si>
    <t>(565) Transmission of Electricity by Others</t>
  </si>
  <si>
    <r>
      <t xml:space="preserve">Total Transmission Assets </t>
    </r>
    <r>
      <rPr>
        <sz val="12"/>
        <rFont val="Arial"/>
        <family val="2"/>
      </rPr>
      <t>(FF1 p. 207.58.g)</t>
    </r>
  </si>
  <si>
    <t>Capital Transmission Additions</t>
  </si>
  <si>
    <t>Transmission</t>
  </si>
  <si>
    <t>Total Transmission</t>
  </si>
  <si>
    <t>Capital Transmission Additions, Retirements, and CWIP</t>
  </si>
  <si>
    <t>Transmission - included facilities</t>
  </si>
  <si>
    <t>Total Additions - included facilities</t>
  </si>
  <si>
    <t>Total Transmission additions</t>
  </si>
  <si>
    <t>Total Additions - excluded facilities</t>
  </si>
  <si>
    <t>Transmission - excluded facilities</t>
  </si>
  <si>
    <t>R/P Strs. Cir. 6778 Yr 2019-2020</t>
  </si>
  <si>
    <t>Delta</t>
  </si>
  <si>
    <t xml:space="preserve">     through the exclusion/inclusion factor in the formula.</t>
  </si>
  <si>
    <t xml:space="preserve">      cost of facilities that ODEC does not own and, thus, would otherwise not be properly excluded from the transmission revenue requirements</t>
  </si>
  <si>
    <t>CTs - Louisa/Marsh Run/Wildcat/Diesels</t>
  </si>
  <si>
    <t>Total Retirements - included facilities</t>
  </si>
  <si>
    <t>Total Retirements - excluded facilities</t>
  </si>
  <si>
    <t>Total Transmission Retirements</t>
  </si>
  <si>
    <t>Total Transmission Transfers</t>
  </si>
  <si>
    <t>Total Transfers - excluded facilities</t>
  </si>
  <si>
    <t>OLD DOMINION ELECTRIC COOPERATIVE</t>
  </si>
  <si>
    <t>Transmission Capital Projects</t>
  </si>
  <si>
    <t>Kellam to Bayview 2nd Line</t>
  </si>
  <si>
    <t>Wallops Line Undergrounding</t>
  </si>
  <si>
    <t>Estimated</t>
  </si>
  <si>
    <t xml:space="preserve">Total </t>
  </si>
  <si>
    <t>Total</t>
  </si>
  <si>
    <t>In Service</t>
  </si>
  <si>
    <t>Priors</t>
  </si>
  <si>
    <t>Budget</t>
  </si>
  <si>
    <t>Project</t>
  </si>
  <si>
    <t>SOURCE: Annual Plant In Service (PIS) Report for 10K support (Plant In Service Summary) for project set and PowerPlan for Monthly Cash Flows. PowerPlan Report 1201 run monthly was also used for Retirements</t>
  </si>
  <si>
    <t>Actuals Year</t>
  </si>
  <si>
    <t>Budget Year</t>
  </si>
  <si>
    <t>(570) Maintenance of Station Equipment</t>
  </si>
  <si>
    <t>Account Number</t>
  </si>
  <si>
    <t>Account Description</t>
  </si>
  <si>
    <t>General Ledger Balance</t>
  </si>
  <si>
    <t xml:space="preserve">           1.222420.0000</t>
  </si>
  <si>
    <t xml:space="preserve">       Misc Current &amp; Accrued Liab</t>
  </si>
  <si>
    <t xml:space="preserve">        1810.222420.0100</t>
  </si>
  <si>
    <t xml:space="preserve">       Misc Current/Accrued Liab-DOE</t>
  </si>
  <si>
    <t xml:space="preserve">        1810.222420.0301</t>
  </si>
  <si>
    <t xml:space="preserve">       Accr N.A.Maint Cont-U1</t>
  </si>
  <si>
    <t xml:space="preserve">        1810.222420.0302</t>
  </si>
  <si>
    <t xml:space="preserve">       Accr N.A.Maint Cont-U2</t>
  </si>
  <si>
    <t xml:space="preserve">        1810.222420.2000</t>
  </si>
  <si>
    <t xml:space="preserve">       DOE D&amp;D-Current</t>
  </si>
  <si>
    <t xml:space="preserve">           1.222420.3000</t>
  </si>
  <si>
    <t xml:space="preserve">       Accr.Liab.-Empl Vacation</t>
  </si>
  <si>
    <t xml:space="preserve">           1.222420.4000</t>
  </si>
  <si>
    <t xml:space="preserve">       Accr.Liab.-FERC Filing Fee</t>
  </si>
  <si>
    <t xml:space="preserve">           1.222420.5000</t>
  </si>
  <si>
    <t xml:space="preserve">       Accr.Liab-Flex Spending-CBA</t>
  </si>
  <si>
    <t xml:space="preserve">           1.222420.5001</t>
  </si>
  <si>
    <t xml:space="preserve">       Accr.Liab-Flex Spending-KSPH</t>
  </si>
  <si>
    <t xml:space="preserve">           1.222420.5100</t>
  </si>
  <si>
    <t xml:space="preserve">       Accr.Liab-Severance</t>
  </si>
  <si>
    <t xml:space="preserve">           1.222420.5110</t>
  </si>
  <si>
    <t xml:space="preserve">       Accr.Liab.-HSA</t>
  </si>
  <si>
    <t xml:space="preserve">           1.222420.6000</t>
  </si>
  <si>
    <t xml:space="preserve">       Accr.Liab.-Ecuador</t>
  </si>
  <si>
    <t xml:space="preserve">           1.222420.6100</t>
  </si>
  <si>
    <t xml:space="preserve">       Accr.Liab.-PSE&amp;G</t>
  </si>
  <si>
    <t xml:space="preserve">           1.222420.9010</t>
  </si>
  <si>
    <t xml:space="preserve">       Deferred Energy (Reclass)</t>
  </si>
  <si>
    <t>Total Object Account 222420</t>
  </si>
  <si>
    <t>Breakout of Accr. Liab - Empl Vacation</t>
  </si>
  <si>
    <t>Corporate</t>
  </si>
  <si>
    <t>Marsh Run</t>
  </si>
  <si>
    <t>Louisa</t>
  </si>
  <si>
    <t>Wildcat Point</t>
  </si>
  <si>
    <t>Total Plant</t>
  </si>
  <si>
    <t>Total Plant + Corporate</t>
  </si>
  <si>
    <t>Easement Savagetown Rd-Trans</t>
  </si>
  <si>
    <t>R/P Circuit 6745 OH Str 79 77 to 89</t>
  </si>
  <si>
    <t>R/P Strs. Cir. 6745/6/8 Yr 2019-2020</t>
  </si>
  <si>
    <t>241464</t>
  </si>
  <si>
    <t>Replace Circuit 6750</t>
  </si>
  <si>
    <t>Replace Chincoteague Channel Cable</t>
  </si>
  <si>
    <t>Conversion</t>
  </si>
  <si>
    <t>FERC</t>
  </si>
  <si>
    <t>3530 - Station Equipment</t>
  </si>
  <si>
    <t>3550 - Poles and Fixtures</t>
  </si>
  <si>
    <t>3560 - Overhead Conductors and Devices</t>
  </si>
  <si>
    <t>Plantation Cheriton Delivery Point (Substation)</t>
  </si>
  <si>
    <t>Install OPGW Circuit 6703 (Fiber)</t>
  </si>
  <si>
    <t>Install OPGW Circuit 6778</t>
  </si>
  <si>
    <t xml:space="preserve">Install Fiber Optic Comm Eq Tasley Substation                      </t>
  </si>
  <si>
    <t xml:space="preserve">Install Fiber Optic Comm Eq Kellam Substation                      </t>
  </si>
  <si>
    <t>Reconfigure Kellam Bus for 6791 Line</t>
  </si>
  <si>
    <t>Kellam S/S: Retermination of 6703 and adding 6791 terminal</t>
  </si>
  <si>
    <t>2022 Pole Inspections Driven Replacements</t>
  </si>
  <si>
    <t>WO</t>
  </si>
  <si>
    <t>Asset ID</t>
  </si>
  <si>
    <t>Replace Structures Circuit 6750-T</t>
  </si>
  <si>
    <t>241459</t>
  </si>
  <si>
    <t>Rpl Insul Chinco Causeway-T (a)</t>
  </si>
  <si>
    <t xml:space="preserve">(a) Note: Negative Transmission addition is primarily credit back for materials from A&amp;N Electric Cooperative </t>
  </si>
  <si>
    <t>Data Network Equip. on Ca</t>
  </si>
  <si>
    <t>D34007</t>
  </si>
  <si>
    <t>3520 - Structures and Improvements</t>
  </si>
  <si>
    <t>Data Network Equip. on ex</t>
  </si>
  <si>
    <t>GSU Transformer T4066</t>
  </si>
  <si>
    <t>D941829</t>
  </si>
  <si>
    <t>GCB 500KV 550KV 3000A 40KA</t>
  </si>
  <si>
    <t>D99-6186</t>
  </si>
  <si>
    <t>Structure 85 Wood 55ft Line 6750 1/1/1963</t>
  </si>
  <si>
    <t>Structure 31 Wood 55ft Line 6750 1/1/1963</t>
  </si>
  <si>
    <t>Structure 93 Wood 55ft Line 6750 1/1/1963</t>
  </si>
  <si>
    <t>Structure 37 Wood 50ft Line 6750 1/1/1963</t>
  </si>
  <si>
    <t>Structure 77 Wood 55ft Line 6750 1/1/1963</t>
  </si>
  <si>
    <t>Structure 151 Wood 65ft Line 6750 1/1/1963</t>
  </si>
  <si>
    <t>Structure 70 Wood 60ft Line 6750 1/1/1963</t>
  </si>
  <si>
    <t>Structure 42 Wood 55ft Line 6750 1/1/1963</t>
  </si>
  <si>
    <t>Structure 34 Wood 55ft Line 6750 1/1/1963</t>
  </si>
  <si>
    <t>Structure 124 Wood 60ft Line 6750 7/1/1991</t>
  </si>
  <si>
    <t>Structure 26 Wood 60ft Line 6750 8/1/1992</t>
  </si>
  <si>
    <t>Structure #106 - line 6750   05/22/10</t>
  </si>
  <si>
    <t>TRNF 500/22KV 370 MVA</t>
  </si>
  <si>
    <t>D99-1291</t>
  </si>
  <si>
    <t>500/22KV 369 MVA GSU TRNF</t>
  </si>
  <si>
    <t>D99-1292</t>
  </si>
  <si>
    <t>500//22KV 369 MVA GSU TRNF</t>
  </si>
  <si>
    <t>Summary of 2021 Formulary Transmission Expenses &amp; Adjustments</t>
  </si>
  <si>
    <t>1.  Excluded $726,807 ($512,521 in wheeling charges and $214,286 in facility charges) from account 562 related to Virginia mainland</t>
  </si>
  <si>
    <t>YE 2021 Accrued Liabilities - FERC 242</t>
  </si>
  <si>
    <t>Tie to FERC Form 1 Electric PIS Pg 206. Transmission Plant Line 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</si>
</sst>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 numFmtId="167" formatCode="General_)"/>
    <numFmt numFmtId="168" formatCode="&quot;$&quot;#,##0"/>
  </numFmts>
  <fonts count="40" x14ac:knownFonts="1">
    <font>
      <sz val="10"/>
      <name val="Arial"/>
    </font>
    <font>
      <sz val="11"/>
      <color theme="1"/>
      <name val="Calibri"/>
      <family val="2"/>
      <scheme val="minor"/>
    </font>
    <font>
      <sz val="10"/>
      <name val="Arial"/>
      <family val="2"/>
    </font>
    <font>
      <sz val="8"/>
      <name val="Arial"/>
      <family val="2"/>
    </font>
    <font>
      <u/>
      <sz val="10"/>
      <name val="Arial"/>
      <family val="2"/>
    </font>
    <font>
      <u val="singleAccounting"/>
      <sz val="10"/>
      <name val="Arial"/>
      <family val="2"/>
    </font>
    <font>
      <b/>
      <sz val="10"/>
      <name val="Arial"/>
      <family val="2"/>
    </font>
    <font>
      <b/>
      <sz val="12"/>
      <name val="Arial"/>
      <family val="2"/>
    </font>
    <font>
      <b/>
      <i/>
      <sz val="10"/>
      <name val="Arial"/>
      <family val="2"/>
    </font>
    <font>
      <b/>
      <sz val="16"/>
      <name val="Arial"/>
      <family val="2"/>
    </font>
    <font>
      <sz val="12"/>
      <name val="Arial"/>
      <family val="2"/>
    </font>
    <font>
      <sz val="12"/>
      <name val="Arial"/>
      <family val="2"/>
    </font>
    <font>
      <u/>
      <sz val="12"/>
      <name val="Arial"/>
      <family val="2"/>
    </font>
    <font>
      <u val="singleAccounting"/>
      <sz val="12"/>
      <name val="Arial"/>
      <family val="2"/>
    </font>
    <font>
      <b/>
      <u/>
      <sz val="12"/>
      <name val="Arial"/>
      <family val="2"/>
    </font>
    <font>
      <b/>
      <u val="singleAccounting"/>
      <sz val="12"/>
      <name val="Arial"/>
      <family val="2"/>
    </font>
    <font>
      <b/>
      <i/>
      <u/>
      <sz val="12"/>
      <name val="Arial"/>
      <family val="2"/>
    </font>
    <font>
      <b/>
      <i/>
      <sz val="12"/>
      <name val="Arial"/>
      <family val="2"/>
    </font>
    <font>
      <b/>
      <u val="singleAccounting"/>
      <sz val="10"/>
      <name val="Arial"/>
      <family val="2"/>
    </font>
    <font>
      <sz val="10"/>
      <name val="Arial"/>
      <family val="2"/>
    </font>
    <font>
      <b/>
      <sz val="11"/>
      <color theme="1"/>
      <name val="Calibri"/>
      <family val="2"/>
      <scheme val="minor"/>
    </font>
    <font>
      <b/>
      <sz val="12"/>
      <color theme="1"/>
      <name val="Arial"/>
      <family val="2"/>
    </font>
    <font>
      <sz val="10"/>
      <name val="Helv"/>
    </font>
    <font>
      <sz val="9"/>
      <color indexed="81"/>
      <name val="Tahoma"/>
      <family val="2"/>
    </font>
    <font>
      <b/>
      <sz val="9"/>
      <color indexed="81"/>
      <name val="Tahoma"/>
      <family val="2"/>
    </font>
    <font>
      <sz val="12"/>
      <color theme="1"/>
      <name val="Arial"/>
      <family val="2"/>
    </font>
    <font>
      <sz val="11"/>
      <color theme="1"/>
      <name val="Arial"/>
      <family val="2"/>
    </font>
    <font>
      <sz val="10"/>
      <name val="Arial"/>
      <family val="2"/>
    </font>
    <font>
      <u/>
      <sz val="10"/>
      <name val="Arial"/>
      <family val="2"/>
    </font>
    <font>
      <b/>
      <sz val="12"/>
      <color theme="1"/>
      <name val="Calibri"/>
      <family val="2"/>
      <scheme val="minor"/>
    </font>
    <font>
      <sz val="10"/>
      <name val="Tms Rmn"/>
    </font>
    <font>
      <sz val="10"/>
      <color rgb="FF0070C0"/>
      <name val="Arial"/>
      <family val="2"/>
    </font>
    <font>
      <b/>
      <i/>
      <u/>
      <sz val="11"/>
      <name val="Arial"/>
      <family val="2"/>
    </font>
    <font>
      <sz val="11"/>
      <name val="Arial"/>
      <family val="2"/>
    </font>
    <font>
      <b/>
      <i/>
      <sz val="11"/>
      <name val="Arial"/>
      <family val="2"/>
    </font>
    <font>
      <b/>
      <sz val="11"/>
      <name val="Arial"/>
      <family val="2"/>
    </font>
    <font>
      <b/>
      <sz val="11"/>
      <color theme="1"/>
      <name val="Arial"/>
      <family val="2"/>
    </font>
    <font>
      <b/>
      <sz val="11"/>
      <color rgb="FF0070C0"/>
      <name val="Arial"/>
      <family val="2"/>
    </font>
    <font>
      <i/>
      <sz val="11"/>
      <name val="Arial"/>
      <family val="2"/>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14">
    <xf numFmtId="0" fontId="0" fillId="0" borderId="0"/>
    <xf numFmtId="43" fontId="2" fillId="0" borderId="0" applyFont="0" applyFill="0" applyBorder="0" applyAlignment="0" applyProtection="0"/>
    <xf numFmtId="43" fontId="19"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9" fontId="2" fillId="0" borderId="0" applyFont="0" applyFill="0" applyBorder="0" applyAlignment="0" applyProtection="0"/>
    <xf numFmtId="167" fontId="22"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37" fontId="30" fillId="0" borderId="0"/>
    <xf numFmtId="37" fontId="30" fillId="0" borderId="0"/>
  </cellStyleXfs>
  <cellXfs count="144">
    <xf numFmtId="0" fontId="0" fillId="0" borderId="0" xfId="0"/>
    <xf numFmtId="0" fontId="0" fillId="0" borderId="0" xfId="0" quotePrefix="1" applyAlignment="1">
      <alignment horizontal="left"/>
    </xf>
    <xf numFmtId="0" fontId="0" fillId="0" borderId="0" xfId="0" applyAlignment="1">
      <alignment horizontal="center"/>
    </xf>
    <xf numFmtId="0" fontId="4" fillId="0" borderId="0" xfId="0" applyFont="1" applyAlignment="1">
      <alignment horizontal="center"/>
    </xf>
    <xf numFmtId="0" fontId="4" fillId="0" borderId="0" xfId="0" quotePrefix="1" applyFont="1" applyAlignment="1">
      <alignment horizontal="left"/>
    </xf>
    <xf numFmtId="0" fontId="7" fillId="0" borderId="0" xfId="0" quotePrefix="1" applyFont="1" applyAlignment="1">
      <alignment horizontal="centerContinuous"/>
    </xf>
    <xf numFmtId="0" fontId="7" fillId="0" borderId="0" xfId="0" applyFont="1" applyAlignment="1">
      <alignment horizontal="centerContinuous"/>
    </xf>
    <xf numFmtId="0" fontId="0" fillId="0" borderId="0" xfId="0" applyAlignment="1">
      <alignment horizontal="left"/>
    </xf>
    <xf numFmtId="0" fontId="8" fillId="0" borderId="0" xfId="0" quotePrefix="1" applyFont="1" applyAlignment="1">
      <alignment horizontal="center"/>
    </xf>
    <xf numFmtId="0" fontId="0" fillId="0" borderId="0" xfId="0" quotePrefix="1" applyAlignment="1">
      <alignment horizontal="center"/>
    </xf>
    <xf numFmtId="43" fontId="0" fillId="0" borderId="0" xfId="0" applyNumberFormat="1"/>
    <xf numFmtId="0" fontId="9" fillId="0" borderId="0" xfId="0" quotePrefix="1" applyFont="1" applyAlignment="1">
      <alignment horizontal="centerContinuous"/>
    </xf>
    <xf numFmtId="0" fontId="9" fillId="0" borderId="0" xfId="0" applyFont="1" applyAlignment="1">
      <alignment horizontal="centerContinuous"/>
    </xf>
    <xf numFmtId="0" fontId="7" fillId="0" borderId="1" xfId="0" applyFont="1" applyBorder="1"/>
    <xf numFmtId="0" fontId="10" fillId="0" borderId="1" xfId="0" applyFont="1" applyBorder="1"/>
    <xf numFmtId="0" fontId="10" fillId="0" borderId="0" xfId="0" applyFont="1"/>
    <xf numFmtId="43" fontId="10" fillId="0" borderId="0" xfId="1" applyFont="1"/>
    <xf numFmtId="43" fontId="10" fillId="0" borderId="0" xfId="0" applyNumberFormat="1" applyFont="1"/>
    <xf numFmtId="0" fontId="0" fillId="0" borderId="0" xfId="0" applyAlignment="1">
      <alignment horizontal="centerContinuous"/>
    </xf>
    <xf numFmtId="0" fontId="10" fillId="0" borderId="0" xfId="0" quotePrefix="1" applyFont="1" applyAlignment="1">
      <alignment horizontal="left"/>
    </xf>
    <xf numFmtId="0" fontId="11" fillId="0" borderId="0" xfId="0" applyFont="1"/>
    <xf numFmtId="0" fontId="11" fillId="0" borderId="0" xfId="0" applyFont="1" applyAlignment="1">
      <alignment horizontal="center"/>
    </xf>
    <xf numFmtId="14" fontId="11" fillId="0" borderId="0" xfId="0" applyNumberFormat="1" applyFont="1" applyAlignment="1">
      <alignment horizontal="center"/>
    </xf>
    <xf numFmtId="0" fontId="12" fillId="0" borderId="0" xfId="0" applyFont="1" applyAlignment="1">
      <alignment horizontal="center"/>
    </xf>
    <xf numFmtId="43" fontId="13" fillId="0" borderId="0" xfId="1" applyFont="1" applyAlignment="1">
      <alignment horizontal="center"/>
    </xf>
    <xf numFmtId="0" fontId="11" fillId="0" borderId="0" xfId="0" quotePrefix="1" applyFont="1" applyAlignment="1">
      <alignment horizontal="center"/>
    </xf>
    <xf numFmtId="0" fontId="14" fillId="0" borderId="0" xfId="0" applyFont="1" applyAlignment="1">
      <alignment horizontal="left"/>
    </xf>
    <xf numFmtId="43" fontId="11" fillId="0" borderId="0" xfId="1" applyFont="1"/>
    <xf numFmtId="164" fontId="11" fillId="0" borderId="0" xfId="3" applyNumberFormat="1" applyFont="1"/>
    <xf numFmtId="165" fontId="11" fillId="0" borderId="0" xfId="5" applyNumberFormat="1" applyFont="1"/>
    <xf numFmtId="43" fontId="15" fillId="0" borderId="0" xfId="1" applyFont="1"/>
    <xf numFmtId="0" fontId="7" fillId="0" borderId="0" xfId="0" quotePrefix="1" applyFont="1" applyAlignment="1">
      <alignment horizontal="left"/>
    </xf>
    <xf numFmtId="0" fontId="20" fillId="0" borderId="0" xfId="0" applyFont="1" applyAlignment="1">
      <alignment horizontal="center"/>
    </xf>
    <xf numFmtId="167" fontId="16" fillId="0" borderId="0" xfId="0" applyNumberFormat="1" applyFont="1"/>
    <xf numFmtId="167" fontId="10" fillId="0" borderId="0" xfId="0" applyNumberFormat="1" applyFont="1"/>
    <xf numFmtId="0" fontId="21" fillId="0" borderId="0" xfId="0" applyFont="1" applyAlignment="1">
      <alignment horizontal="centerContinuous"/>
    </xf>
    <xf numFmtId="10" fontId="0" fillId="0" borderId="0" xfId="0" applyNumberFormat="1"/>
    <xf numFmtId="164" fontId="11" fillId="0" borderId="0" xfId="3" applyNumberFormat="1" applyFont="1" applyFill="1"/>
    <xf numFmtId="166" fontId="10" fillId="0" borderId="0" xfId="2" applyNumberFormat="1" applyFont="1" applyBorder="1"/>
    <xf numFmtId="164" fontId="10" fillId="0" borderId="0" xfId="4" applyNumberFormat="1" applyFont="1" applyBorder="1"/>
    <xf numFmtId="164" fontId="17" fillId="0" borderId="0" xfId="4" applyNumberFormat="1" applyFont="1" applyAlignment="1">
      <alignment horizontal="right"/>
    </xf>
    <xf numFmtId="164" fontId="7" fillId="0" borderId="2" xfId="4" applyNumberFormat="1" applyFont="1" applyBorder="1"/>
    <xf numFmtId="164" fontId="0" fillId="0" borderId="0" xfId="0" applyNumberFormat="1"/>
    <xf numFmtId="0" fontId="0" fillId="0" borderId="0" xfId="0" applyFill="1"/>
    <xf numFmtId="0" fontId="21" fillId="0" borderId="0" xfId="7" applyFont="1"/>
    <xf numFmtId="0" fontId="1" fillId="0" borderId="0" xfId="7"/>
    <xf numFmtId="0" fontId="26" fillId="0" borderId="0" xfId="7" applyFont="1"/>
    <xf numFmtId="0" fontId="28" fillId="0" borderId="0" xfId="0" applyFont="1" applyAlignment="1">
      <alignment horizontal="center"/>
    </xf>
    <xf numFmtId="164" fontId="0" fillId="0" borderId="0" xfId="10" applyNumberFormat="1" applyFont="1"/>
    <xf numFmtId="164" fontId="0" fillId="0" borderId="0" xfId="10" applyNumberFormat="1" applyFont="1" applyAlignment="1">
      <alignment horizontal="left"/>
    </xf>
    <xf numFmtId="164" fontId="6" fillId="0" borderId="0" xfId="10" applyNumberFormat="1" applyFont="1"/>
    <xf numFmtId="164" fontId="2" fillId="0" borderId="0" xfId="10" quotePrefix="1" applyNumberFormat="1" applyFont="1" applyAlignment="1">
      <alignment horizontal="left"/>
    </xf>
    <xf numFmtId="164" fontId="18" fillId="0" borderId="0" xfId="10" applyNumberFormat="1" applyFont="1"/>
    <xf numFmtId="164" fontId="2" fillId="0" borderId="0" xfId="10" applyNumberFormat="1" applyFont="1" applyAlignment="1">
      <alignment horizontal="left"/>
    </xf>
    <xf numFmtId="164" fontId="0" fillId="0" borderId="0" xfId="10" quotePrefix="1" applyNumberFormat="1" applyFont="1" applyAlignment="1">
      <alignment horizontal="left"/>
    </xf>
    <xf numFmtId="167" fontId="10" fillId="0" borderId="0" xfId="0" applyNumberFormat="1" applyFont="1" applyFill="1"/>
    <xf numFmtId="0" fontId="2" fillId="2" borderId="0" xfId="0" quotePrefix="1" applyFont="1" applyFill="1" applyAlignment="1">
      <alignment horizontal="left"/>
    </xf>
    <xf numFmtId="164" fontId="5" fillId="2" borderId="0" xfId="10" applyNumberFormat="1" applyFont="1" applyFill="1"/>
    <xf numFmtId="164" fontId="11" fillId="2" borderId="0" xfId="3" quotePrefix="1" applyNumberFormat="1" applyFont="1" applyFill="1" applyAlignment="1">
      <alignment horizontal="center"/>
    </xf>
    <xf numFmtId="164" fontId="13" fillId="2" borderId="0" xfId="3" applyNumberFormat="1" applyFont="1" applyFill="1"/>
    <xf numFmtId="166" fontId="10" fillId="0" borderId="0" xfId="1" applyNumberFormat="1" applyFont="1" applyBorder="1"/>
    <xf numFmtId="3" fontId="10" fillId="0" borderId="0" xfId="0" applyNumberFormat="1" applyFont="1"/>
    <xf numFmtId="0" fontId="0" fillId="2" borderId="0" xfId="0" applyFill="1"/>
    <xf numFmtId="164" fontId="10" fillId="0" borderId="0" xfId="3" applyNumberFormat="1" applyFont="1" applyFill="1"/>
    <xf numFmtId="0" fontId="10" fillId="0" borderId="0" xfId="12" applyNumberFormat="1" applyFont="1" applyFill="1" applyBorder="1"/>
    <xf numFmtId="0" fontId="17" fillId="0" borderId="0" xfId="7" applyNumberFormat="1" applyFont="1" applyFill="1" applyBorder="1" applyAlignment="1"/>
    <xf numFmtId="0" fontId="10" fillId="0" borderId="0" xfId="12" applyNumberFormat="1" applyFont="1" applyFill="1" applyBorder="1" applyAlignment="1">
      <alignment horizontal="left"/>
    </xf>
    <xf numFmtId="37" fontId="10" fillId="0" borderId="0" xfId="12" applyFont="1" applyFill="1" applyBorder="1"/>
    <xf numFmtId="37" fontId="10" fillId="0" borderId="0" xfId="12" applyFont="1" applyFill="1" applyBorder="1" applyAlignment="1">
      <alignment horizontal="left"/>
    </xf>
    <xf numFmtId="1" fontId="7" fillId="0" borderId="0" xfId="6" applyNumberFormat="1" applyFont="1" applyFill="1" applyBorder="1" applyAlignment="1" applyProtection="1">
      <alignment horizontal="center" vertical="center"/>
    </xf>
    <xf numFmtId="167" fontId="7" fillId="0" borderId="0" xfId="6" applyFont="1" applyFill="1" applyBorder="1" applyAlignment="1">
      <alignment horizontal="center" vertical="center"/>
    </xf>
    <xf numFmtId="0" fontId="7" fillId="0" borderId="0" xfId="7" applyNumberFormat="1" applyFont="1" applyFill="1" applyBorder="1" applyAlignment="1"/>
    <xf numFmtId="164" fontId="11" fillId="0" borderId="0" xfId="0" applyNumberFormat="1" applyFont="1"/>
    <xf numFmtId="0" fontId="31" fillId="0" borderId="0" xfId="0" applyFont="1" applyAlignment="1">
      <alignment horizontal="left"/>
    </xf>
    <xf numFmtId="167" fontId="10" fillId="0" borderId="0" xfId="0" applyNumberFormat="1" applyFont="1" applyAlignment="1">
      <alignment horizontal="left"/>
    </xf>
    <xf numFmtId="0" fontId="10" fillId="0" borderId="0" xfId="0" applyNumberFormat="1" applyFont="1" applyAlignment="1">
      <alignment horizontal="left"/>
    </xf>
    <xf numFmtId="14" fontId="10" fillId="0" borderId="0" xfId="0" applyNumberFormat="1" applyFont="1"/>
    <xf numFmtId="14" fontId="10" fillId="0" borderId="0" xfId="0" applyNumberFormat="1" applyFont="1" applyFill="1"/>
    <xf numFmtId="0" fontId="6" fillId="0" borderId="1" xfId="0" applyFont="1" applyBorder="1" applyAlignment="1">
      <alignment horizontal="center"/>
    </xf>
    <xf numFmtId="17" fontId="29" fillId="0" borderId="1" xfId="7" applyNumberFormat="1" applyFont="1" applyBorder="1" applyAlignment="1">
      <alignment horizontal="center"/>
    </xf>
    <xf numFmtId="0" fontId="2" fillId="0" borderId="0" xfId="0" applyFont="1" applyAlignment="1">
      <alignment horizontal="left"/>
    </xf>
    <xf numFmtId="0" fontId="20" fillId="0" borderId="0" xfId="0" applyFont="1"/>
    <xf numFmtId="49" fontId="0" fillId="0" borderId="0" xfId="0" applyNumberFormat="1"/>
    <xf numFmtId="43" fontId="0" fillId="0" borderId="0" xfId="1" applyFont="1"/>
    <xf numFmtId="0" fontId="2" fillId="0" borderId="0" xfId="0" applyFont="1"/>
    <xf numFmtId="0" fontId="6" fillId="0" borderId="0" xfId="0" applyFont="1"/>
    <xf numFmtId="0" fontId="6" fillId="0" borderId="0" xfId="0" applyFont="1" applyAlignment="1">
      <alignment horizontal="center"/>
    </xf>
    <xf numFmtId="43" fontId="0" fillId="0" borderId="1" xfId="1" applyFont="1" applyBorder="1"/>
    <xf numFmtId="17" fontId="21" fillId="0" borderId="1" xfId="7" applyNumberFormat="1" applyFont="1" applyBorder="1" applyAlignment="1">
      <alignment horizontal="center"/>
    </xf>
    <xf numFmtId="0" fontId="10" fillId="0" borderId="0" xfId="0" applyFont="1" applyFill="1" applyBorder="1"/>
    <xf numFmtId="17" fontId="7" fillId="0" borderId="0" xfId="0" applyNumberFormat="1" applyFont="1" applyBorder="1" applyAlignment="1">
      <alignment horizontal="center"/>
    </xf>
    <xf numFmtId="0" fontId="7" fillId="0" borderId="0" xfId="0" applyNumberFormat="1" applyFont="1" applyBorder="1" applyAlignment="1">
      <alignment horizontal="center"/>
    </xf>
    <xf numFmtId="17" fontId="7" fillId="0" borderId="1" xfId="0" applyNumberFormat="1" applyFont="1" applyBorder="1" applyAlignment="1">
      <alignment horizontal="center"/>
    </xf>
    <xf numFmtId="0" fontId="7" fillId="0" borderId="1" xfId="0" applyFont="1" applyBorder="1" applyAlignment="1">
      <alignment horizontal="center"/>
    </xf>
    <xf numFmtId="0" fontId="17" fillId="0" borderId="0" xfId="13" applyNumberFormat="1" applyFont="1" applyFill="1" applyBorder="1" applyAlignment="1">
      <alignment horizontal="left"/>
    </xf>
    <xf numFmtId="37" fontId="10" fillId="0" borderId="0" xfId="13" applyFont="1" applyFill="1" applyBorder="1" applyAlignment="1">
      <alignment horizontal="right"/>
    </xf>
    <xf numFmtId="37" fontId="10" fillId="0" borderId="0" xfId="0" applyNumberFormat="1" applyFont="1" applyFill="1" applyBorder="1"/>
    <xf numFmtId="37" fontId="10" fillId="0" borderId="0" xfId="13" applyNumberFormat="1" applyFont="1" applyFill="1" applyBorder="1" applyAlignment="1">
      <alignment horizontal="right"/>
    </xf>
    <xf numFmtId="0" fontId="10" fillId="0" borderId="0" xfId="12" applyNumberFormat="1" applyFont="1" applyFill="1" applyBorder="1" applyAlignment="1" applyProtection="1">
      <alignment horizontal="left"/>
    </xf>
    <xf numFmtId="37" fontId="10" fillId="0" borderId="0" xfId="13" applyFont="1" applyFill="1" applyBorder="1"/>
    <xf numFmtId="0" fontId="7" fillId="0" borderId="0" xfId="12" applyNumberFormat="1" applyFont="1" applyFill="1" applyBorder="1" applyAlignment="1">
      <alignment horizontal="left"/>
    </xf>
    <xf numFmtId="37" fontId="7" fillId="0" borderId="0" xfId="12" applyFont="1" applyFill="1" applyBorder="1"/>
    <xf numFmtId="164" fontId="7" fillId="0" borderId="0" xfId="4" applyNumberFormat="1" applyFont="1" applyFill="1" applyBorder="1" applyProtection="1"/>
    <xf numFmtId="0" fontId="25" fillId="0" borderId="0" xfId="7" applyNumberFormat="1" applyFont="1" applyFill="1" applyBorder="1" applyAlignment="1">
      <alignment horizontal="left"/>
    </xf>
    <xf numFmtId="0" fontId="25" fillId="0" borderId="0" xfId="7" applyNumberFormat="1" applyFont="1" applyFill="1" applyBorder="1"/>
    <xf numFmtId="164" fontId="17" fillId="0" borderId="0" xfId="4" applyNumberFormat="1" applyFont="1" applyAlignment="1">
      <alignment horizontal="left"/>
    </xf>
    <xf numFmtId="164" fontId="17" fillId="0" borderId="0" xfId="4" applyNumberFormat="1" applyFont="1" applyAlignment="1"/>
    <xf numFmtId="164" fontId="2" fillId="2" borderId="0" xfId="10" applyNumberFormat="1" applyFont="1" applyFill="1"/>
    <xf numFmtId="164" fontId="2" fillId="2" borderId="0" xfId="11" applyNumberFormat="1" applyFont="1" applyFill="1"/>
    <xf numFmtId="164" fontId="10" fillId="2" borderId="0" xfId="3" applyNumberFormat="1" applyFont="1" applyFill="1"/>
    <xf numFmtId="168" fontId="10" fillId="0" borderId="0" xfId="4" applyNumberFormat="1" applyFont="1" applyBorder="1"/>
    <xf numFmtId="167" fontId="32" fillId="0" borderId="0" xfId="7" applyNumberFormat="1" applyFont="1"/>
    <xf numFmtId="164" fontId="33" fillId="0" borderId="0" xfId="8" applyNumberFormat="1" applyFont="1" applyAlignment="1">
      <alignment horizontal="left"/>
    </xf>
    <xf numFmtId="0" fontId="33" fillId="0" borderId="0" xfId="7" applyNumberFormat="1" applyFont="1" applyFill="1" applyBorder="1" applyAlignment="1">
      <alignment horizontal="left"/>
    </xf>
    <xf numFmtId="0" fontId="33" fillId="0" borderId="0" xfId="0" applyFont="1" applyAlignment="1">
      <alignment horizontal="left"/>
    </xf>
    <xf numFmtId="164" fontId="33" fillId="2" borderId="0" xfId="8" applyNumberFormat="1" applyFont="1" applyFill="1"/>
    <xf numFmtId="164" fontId="33" fillId="2" borderId="0" xfId="8" applyNumberFormat="1" applyFont="1" applyFill="1" applyBorder="1"/>
    <xf numFmtId="164" fontId="26" fillId="0" borderId="0" xfId="8" applyNumberFormat="1" applyFont="1"/>
    <xf numFmtId="164" fontId="33" fillId="0" borderId="0" xfId="8" applyNumberFormat="1" applyFont="1"/>
    <xf numFmtId="164" fontId="34" fillId="0" borderId="0" xfId="8" applyNumberFormat="1" applyFont="1" applyAlignment="1">
      <alignment horizontal="right"/>
    </xf>
    <xf numFmtId="164" fontId="35" fillId="0" borderId="3" xfId="8" applyNumberFormat="1" applyFont="1" applyBorder="1"/>
    <xf numFmtId="164" fontId="35" fillId="0" borderId="0" xfId="8" applyNumberFormat="1" applyFont="1" applyBorder="1"/>
    <xf numFmtId="164" fontId="35" fillId="0" borderId="0" xfId="8" applyNumberFormat="1" applyFont="1"/>
    <xf numFmtId="164" fontId="36" fillId="0" borderId="3" xfId="7" applyNumberFormat="1" applyFont="1" applyBorder="1"/>
    <xf numFmtId="0" fontId="36" fillId="0" borderId="3" xfId="7" applyFont="1" applyBorder="1"/>
    <xf numFmtId="164" fontId="36" fillId="0" borderId="0" xfId="7" applyNumberFormat="1" applyFont="1" applyBorder="1"/>
    <xf numFmtId="164" fontId="35" fillId="0" borderId="0" xfId="8" applyNumberFormat="1" applyFont="1" applyAlignment="1">
      <alignment horizontal="left"/>
    </xf>
    <xf numFmtId="164" fontId="35" fillId="0" borderId="2" xfId="8" applyNumberFormat="1" applyFont="1" applyBorder="1"/>
    <xf numFmtId="164" fontId="37" fillId="0" borderId="2" xfId="8" applyNumberFormat="1" applyFont="1" applyBorder="1"/>
    <xf numFmtId="0" fontId="33" fillId="0" borderId="0" xfId="7" applyFont="1" applyFill="1" applyBorder="1"/>
    <xf numFmtId="164" fontId="33" fillId="0" borderId="0" xfId="8" applyNumberFormat="1" applyFont="1" applyBorder="1"/>
    <xf numFmtId="0" fontId="38" fillId="0" borderId="0" xfId="7" applyFont="1" applyFill="1" applyBorder="1"/>
    <xf numFmtId="164" fontId="33" fillId="0" borderId="0" xfId="8" applyNumberFormat="1" applyFont="1" applyAlignment="1">
      <alignment horizontal="left" indent="3"/>
    </xf>
    <xf numFmtId="164" fontId="33" fillId="0" borderId="0" xfId="8" applyNumberFormat="1" applyFont="1" applyFill="1"/>
    <xf numFmtId="164" fontId="33" fillId="0" borderId="0" xfId="8" applyNumberFormat="1" applyFont="1" applyFill="1" applyBorder="1"/>
    <xf numFmtId="0" fontId="36" fillId="3" borderId="0" xfId="7" applyFont="1" applyFill="1" applyAlignment="1">
      <alignment horizontal="center"/>
    </xf>
    <xf numFmtId="0" fontId="36" fillId="0" borderId="0" xfId="7" applyFont="1" applyAlignment="1">
      <alignment horizontal="center"/>
    </xf>
    <xf numFmtId="17" fontId="36" fillId="0" borderId="0" xfId="7" applyNumberFormat="1" applyFont="1" applyAlignment="1">
      <alignment horizontal="center"/>
    </xf>
    <xf numFmtId="17" fontId="21" fillId="0" borderId="0" xfId="7" applyNumberFormat="1" applyFont="1" applyAlignment="1">
      <alignment horizontal="center"/>
    </xf>
    <xf numFmtId="0" fontId="21" fillId="0" borderId="0" xfId="7" applyFont="1" applyAlignment="1">
      <alignment horizontal="center"/>
    </xf>
    <xf numFmtId="0" fontId="39" fillId="0" borderId="0" xfId="7" applyFont="1"/>
    <xf numFmtId="164" fontId="26" fillId="0" borderId="0" xfId="7" applyNumberFormat="1" applyFont="1"/>
    <xf numFmtId="0" fontId="7" fillId="0" borderId="0" xfId="7" applyNumberFormat="1" applyFont="1" applyFill="1" applyBorder="1" applyAlignment="1">
      <alignment horizontal="center"/>
    </xf>
    <xf numFmtId="0" fontId="17" fillId="0" borderId="0" xfId="7" applyNumberFormat="1" applyFont="1" applyFill="1" applyBorder="1" applyAlignment="1">
      <alignment horizontal="center"/>
    </xf>
  </cellXfs>
  <cellStyles count="14">
    <cellStyle name="Comma" xfId="1" builtinId="3"/>
    <cellStyle name="Comma 2" xfId="2" xr:uid="{00000000-0005-0000-0000-000001000000}"/>
    <cellStyle name="Comma 3" xfId="9" xr:uid="{00000000-0005-0000-0000-000002000000}"/>
    <cellStyle name="Currency" xfId="3" builtinId="4"/>
    <cellStyle name="Currency 2" xfId="4" xr:uid="{00000000-0005-0000-0000-000004000000}"/>
    <cellStyle name="Currency 2 2" xfId="11" xr:uid="{00000000-0005-0000-0000-000005000000}"/>
    <cellStyle name="Currency 3" xfId="8" xr:uid="{00000000-0005-0000-0000-000006000000}"/>
    <cellStyle name="Currency 4" xfId="10" xr:uid="{00000000-0005-0000-0000-000007000000}"/>
    <cellStyle name="Normal" xfId="0" builtinId="0"/>
    <cellStyle name="Normal 2" xfId="7" xr:uid="{00000000-0005-0000-0000-000009000000}"/>
    <cellStyle name="Normal 2 4" xfId="6" xr:uid="{00000000-0005-0000-0000-00000A000000}"/>
    <cellStyle name="Normal 4" xfId="13" xr:uid="{00000000-0005-0000-0000-00000B000000}"/>
    <cellStyle name="Normal_Capital Admin Assets 08" xfId="12" xr:uid="{00000000-0005-0000-0000-00000C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5"/>
  <sheetViews>
    <sheetView tabSelected="1" view="pageLayout" zoomScaleNormal="100" workbookViewId="0">
      <selection activeCell="E7" sqref="E7"/>
    </sheetView>
  </sheetViews>
  <sheetFormatPr defaultRowHeight="13.2" x14ac:dyDescent="0.25"/>
  <cols>
    <col min="2" max="2" width="31.44140625" customWidth="1"/>
    <col min="3" max="3" width="20.44140625" customWidth="1"/>
    <col min="4" max="4" width="15.88671875" customWidth="1"/>
    <col min="5" max="5" width="16" customWidth="1"/>
    <col min="6" max="6" width="14.5546875" customWidth="1"/>
    <col min="7" max="7" width="17.88671875" customWidth="1"/>
  </cols>
  <sheetData>
    <row r="1" spans="1:9" ht="21" x14ac:dyDescent="0.4">
      <c r="B1" s="11" t="s">
        <v>0</v>
      </c>
      <c r="C1" s="5"/>
      <c r="D1" s="6"/>
      <c r="E1" s="6"/>
      <c r="F1" s="6"/>
      <c r="G1" s="6"/>
      <c r="H1" s="6"/>
      <c r="I1" s="6"/>
    </row>
    <row r="2" spans="1:9" ht="21" x14ac:dyDescent="0.4">
      <c r="B2" s="12" t="s">
        <v>29</v>
      </c>
      <c r="C2" s="6"/>
      <c r="D2" s="6"/>
      <c r="E2" s="6"/>
      <c r="F2" s="6"/>
      <c r="G2" s="6"/>
      <c r="H2" s="6"/>
      <c r="I2" s="6"/>
    </row>
    <row r="3" spans="1:9" ht="21" x14ac:dyDescent="0.4">
      <c r="B3" s="12" t="s">
        <v>178</v>
      </c>
      <c r="C3" s="18"/>
      <c r="D3" s="18"/>
      <c r="E3" s="18"/>
      <c r="F3" s="18"/>
      <c r="G3" s="18"/>
      <c r="H3" s="18"/>
      <c r="I3" s="18"/>
    </row>
    <row r="5" spans="1:9" x14ac:dyDescent="0.25">
      <c r="C5" s="43"/>
    </row>
    <row r="6" spans="1:9" x14ac:dyDescent="0.25">
      <c r="F6" s="2"/>
      <c r="G6" s="2"/>
    </row>
    <row r="7" spans="1:9" x14ac:dyDescent="0.25">
      <c r="F7" s="2"/>
      <c r="G7" s="2"/>
    </row>
    <row r="8" spans="1:9" x14ac:dyDescent="0.25">
      <c r="D8" s="2">
        <v>2021</v>
      </c>
      <c r="F8" s="2"/>
      <c r="G8" s="9" t="s">
        <v>14</v>
      </c>
    </row>
    <row r="9" spans="1:9" x14ac:dyDescent="0.25">
      <c r="A9" s="2" t="s">
        <v>20</v>
      </c>
      <c r="D9" s="2" t="s">
        <v>1</v>
      </c>
      <c r="E9" s="2">
        <f>+D8</f>
        <v>2021</v>
      </c>
      <c r="F9" s="2"/>
      <c r="G9" s="2">
        <f>+E9</f>
        <v>2021</v>
      </c>
    </row>
    <row r="10" spans="1:9" x14ac:dyDescent="0.25">
      <c r="A10" s="3" t="s">
        <v>21</v>
      </c>
      <c r="B10" s="3" t="s">
        <v>19</v>
      </c>
      <c r="D10" s="3" t="s">
        <v>5</v>
      </c>
      <c r="E10" s="3" t="s">
        <v>1</v>
      </c>
      <c r="F10" s="47" t="s">
        <v>3</v>
      </c>
      <c r="G10" s="3" t="s">
        <v>4</v>
      </c>
      <c r="H10" s="4" t="s">
        <v>7</v>
      </c>
    </row>
    <row r="11" spans="1:9" x14ac:dyDescent="0.25">
      <c r="A11" s="9" t="s">
        <v>22</v>
      </c>
      <c r="B11" s="9" t="s">
        <v>23</v>
      </c>
      <c r="D11" s="9" t="s">
        <v>24</v>
      </c>
      <c r="E11" s="9" t="s">
        <v>25</v>
      </c>
      <c r="F11" s="9" t="s">
        <v>26</v>
      </c>
      <c r="G11" s="9" t="s">
        <v>27</v>
      </c>
      <c r="H11" s="9" t="s">
        <v>28</v>
      </c>
    </row>
    <row r="12" spans="1:9" x14ac:dyDescent="0.25">
      <c r="A12" s="2"/>
      <c r="B12" s="1"/>
      <c r="D12" s="1"/>
      <c r="E12" s="48"/>
      <c r="F12" s="48"/>
      <c r="G12" s="48"/>
    </row>
    <row r="13" spans="1:9" x14ac:dyDescent="0.25">
      <c r="A13" s="2"/>
      <c r="B13" s="8" t="s">
        <v>13</v>
      </c>
      <c r="E13" s="48"/>
      <c r="F13" s="48"/>
      <c r="G13" s="48"/>
    </row>
    <row r="14" spans="1:9" x14ac:dyDescent="0.25">
      <c r="A14" s="2">
        <v>1</v>
      </c>
      <c r="B14" t="s">
        <v>2</v>
      </c>
      <c r="E14" s="48"/>
      <c r="F14" s="48"/>
      <c r="G14" s="48"/>
      <c r="H14" s="49"/>
    </row>
    <row r="15" spans="1:9" x14ac:dyDescent="0.25">
      <c r="A15" s="2">
        <f>A14+1</f>
        <v>2</v>
      </c>
      <c r="B15" s="7" t="s">
        <v>41</v>
      </c>
      <c r="C15" s="1"/>
      <c r="D15" s="1" t="s">
        <v>42</v>
      </c>
      <c r="E15" s="107">
        <v>785008</v>
      </c>
      <c r="F15" s="107"/>
      <c r="G15" s="50">
        <f t="shared" ref="G15:G23" si="0">F15+E15</f>
        <v>785008</v>
      </c>
      <c r="H15" s="48"/>
    </row>
    <row r="16" spans="1:9" x14ac:dyDescent="0.25">
      <c r="A16" s="2">
        <f t="shared" ref="A16:A24" si="1">A15+1</f>
        <v>3</v>
      </c>
      <c r="B16" s="7" t="s">
        <v>43</v>
      </c>
      <c r="C16" s="1"/>
      <c r="D16" s="1" t="s">
        <v>40</v>
      </c>
      <c r="E16" s="107">
        <v>3946303</v>
      </c>
      <c r="F16" s="107">
        <f>-E16</f>
        <v>-3946303</v>
      </c>
      <c r="G16" s="50">
        <f t="shared" si="0"/>
        <v>0</v>
      </c>
      <c r="H16" s="48" t="s">
        <v>18</v>
      </c>
    </row>
    <row r="17" spans="1:11" x14ac:dyDescent="0.25">
      <c r="A17" s="2">
        <f t="shared" si="1"/>
        <v>4</v>
      </c>
      <c r="B17" s="7" t="s">
        <v>44</v>
      </c>
      <c r="C17" s="1"/>
      <c r="D17" s="1" t="s">
        <v>45</v>
      </c>
      <c r="E17" s="107">
        <v>0</v>
      </c>
      <c r="F17" s="107"/>
      <c r="G17" s="50">
        <f t="shared" si="0"/>
        <v>0</v>
      </c>
      <c r="H17" s="48"/>
    </row>
    <row r="18" spans="1:11" x14ac:dyDescent="0.25">
      <c r="A18" s="2">
        <f t="shared" si="1"/>
        <v>5</v>
      </c>
      <c r="B18" s="7" t="s">
        <v>46</v>
      </c>
      <c r="C18" s="1"/>
      <c r="D18" s="1" t="s">
        <v>47</v>
      </c>
      <c r="E18" s="107">
        <v>148796</v>
      </c>
      <c r="F18" s="107"/>
      <c r="G18" s="50">
        <f t="shared" si="0"/>
        <v>148796</v>
      </c>
      <c r="H18" s="48"/>
    </row>
    <row r="19" spans="1:11" x14ac:dyDescent="0.25">
      <c r="A19" s="2">
        <f t="shared" si="1"/>
        <v>6</v>
      </c>
      <c r="B19" s="7" t="s">
        <v>48</v>
      </c>
      <c r="C19" s="1"/>
      <c r="D19" s="1" t="s">
        <v>9</v>
      </c>
      <c r="E19" s="107">
        <v>923114</v>
      </c>
      <c r="F19" s="108">
        <f>-202403.52-310117.92-156372.6-57913.32</f>
        <v>-726807.35999999987</v>
      </c>
      <c r="G19" s="50">
        <f t="shared" si="0"/>
        <v>196306.64000000013</v>
      </c>
      <c r="H19" s="51" t="s">
        <v>8</v>
      </c>
    </row>
    <row r="20" spans="1:11" x14ac:dyDescent="0.25">
      <c r="A20" s="2">
        <f t="shared" si="1"/>
        <v>7</v>
      </c>
      <c r="B20" s="7" t="s">
        <v>49</v>
      </c>
      <c r="C20" s="1"/>
      <c r="D20" s="1" t="s">
        <v>50</v>
      </c>
      <c r="E20" s="107">
        <v>173350</v>
      </c>
      <c r="F20" s="107"/>
      <c r="G20" s="50">
        <f t="shared" si="0"/>
        <v>173350</v>
      </c>
      <c r="H20" s="48"/>
    </row>
    <row r="21" spans="1:11" x14ac:dyDescent="0.25">
      <c r="A21" s="2">
        <f t="shared" si="1"/>
        <v>8</v>
      </c>
      <c r="B21" s="1" t="s">
        <v>51</v>
      </c>
      <c r="C21" s="1"/>
      <c r="D21" s="1" t="s">
        <v>52</v>
      </c>
      <c r="E21" s="107">
        <v>0</v>
      </c>
      <c r="F21" s="107"/>
      <c r="G21" s="50">
        <f t="shared" si="0"/>
        <v>0</v>
      </c>
      <c r="H21" s="48"/>
    </row>
    <row r="22" spans="1:11" x14ac:dyDescent="0.25">
      <c r="A22" s="2">
        <f>A20+1</f>
        <v>8</v>
      </c>
      <c r="B22" s="7" t="s">
        <v>53</v>
      </c>
      <c r="C22" s="1"/>
      <c r="D22" s="1" t="s">
        <v>6</v>
      </c>
      <c r="E22" s="107">
        <v>126765461</v>
      </c>
      <c r="F22" s="107">
        <f>-E22</f>
        <v>-126765461</v>
      </c>
      <c r="G22" s="50">
        <f t="shared" si="0"/>
        <v>0</v>
      </c>
      <c r="H22" s="53" t="s">
        <v>18</v>
      </c>
    </row>
    <row r="23" spans="1:11" ht="16.8" x14ac:dyDescent="0.55000000000000004">
      <c r="A23" s="2">
        <v>10</v>
      </c>
      <c r="B23" s="80" t="s">
        <v>88</v>
      </c>
      <c r="C23" s="1"/>
      <c r="D23" s="1" t="s">
        <v>6</v>
      </c>
      <c r="E23" s="57">
        <v>13771</v>
      </c>
      <c r="F23" s="57">
        <v>0</v>
      </c>
      <c r="G23" s="52">
        <f t="shared" si="0"/>
        <v>13771</v>
      </c>
      <c r="H23" s="53"/>
    </row>
    <row r="24" spans="1:11" x14ac:dyDescent="0.25">
      <c r="A24" s="2">
        <f t="shared" si="1"/>
        <v>11</v>
      </c>
      <c r="B24" s="1" t="s">
        <v>10</v>
      </c>
      <c r="D24" s="7" t="s">
        <v>12</v>
      </c>
      <c r="E24" s="48">
        <f>SUM(E15:E23)</f>
        <v>132755803</v>
      </c>
      <c r="F24" s="48">
        <f>SUM(F15:F23)</f>
        <v>-131438571.36</v>
      </c>
      <c r="G24" s="50">
        <f>SUM(G15:G23)</f>
        <v>1317231.6400000001</v>
      </c>
      <c r="H24" s="48"/>
    </row>
    <row r="25" spans="1:11" x14ac:dyDescent="0.25">
      <c r="A25" s="2"/>
      <c r="E25" s="48"/>
      <c r="F25" s="48"/>
      <c r="G25" s="50"/>
      <c r="H25" s="48"/>
    </row>
    <row r="26" spans="1:11" x14ac:dyDescent="0.25">
      <c r="E26" s="48"/>
      <c r="F26" s="48"/>
      <c r="G26" s="48"/>
      <c r="H26" s="54"/>
      <c r="J26" s="42"/>
    </row>
    <row r="27" spans="1:11" x14ac:dyDescent="0.25">
      <c r="E27" s="48"/>
      <c r="F27" s="48"/>
      <c r="G27" s="48"/>
      <c r="H27" s="54"/>
    </row>
    <row r="28" spans="1:11" x14ac:dyDescent="0.25">
      <c r="E28" s="48"/>
      <c r="F28" s="48"/>
      <c r="G28" s="48"/>
      <c r="H28" s="48"/>
    </row>
    <row r="29" spans="1:11" x14ac:dyDescent="0.25">
      <c r="E29" s="48"/>
      <c r="F29" s="48"/>
      <c r="G29" s="48"/>
      <c r="H29" s="48"/>
    </row>
    <row r="30" spans="1:11" x14ac:dyDescent="0.25">
      <c r="B30" t="s">
        <v>11</v>
      </c>
      <c r="C30" s="56" t="s">
        <v>179</v>
      </c>
      <c r="D30" s="62"/>
      <c r="E30" s="62"/>
      <c r="F30" s="62"/>
      <c r="G30" s="62"/>
      <c r="H30" s="62"/>
      <c r="I30" s="62"/>
      <c r="J30" s="62"/>
      <c r="K30" s="62"/>
    </row>
    <row r="31" spans="1:11" x14ac:dyDescent="0.25">
      <c r="C31" s="56" t="s">
        <v>67</v>
      </c>
      <c r="D31" s="62"/>
      <c r="E31" s="62"/>
      <c r="F31" s="62"/>
      <c r="G31" s="62"/>
      <c r="H31" s="62"/>
      <c r="I31" s="62"/>
      <c r="J31" s="62"/>
      <c r="K31" s="62"/>
    </row>
    <row r="32" spans="1:11" x14ac:dyDescent="0.25">
      <c r="C32" s="56" t="s">
        <v>66</v>
      </c>
      <c r="D32" s="62"/>
      <c r="E32" s="62"/>
      <c r="F32" s="62"/>
      <c r="G32" s="62"/>
      <c r="H32" s="62"/>
      <c r="I32" s="62"/>
      <c r="J32" s="62"/>
      <c r="K32" s="62"/>
    </row>
    <row r="35" spans="3:3" x14ac:dyDescent="0.25">
      <c r="C35" s="1"/>
    </row>
    <row r="36" spans="3:3" x14ac:dyDescent="0.25">
      <c r="C36" s="1"/>
    </row>
    <row r="37" spans="3:3" x14ac:dyDescent="0.25">
      <c r="C37" s="1"/>
    </row>
    <row r="55" spans="3:4" x14ac:dyDescent="0.25">
      <c r="C55" s="36"/>
      <c r="D55" s="36"/>
    </row>
  </sheetData>
  <pageMargins left="0.42" right="0.38" top="1" bottom="1" header="0.5" footer="0.5"/>
  <pageSetup scale="85" orientation="landscape" r:id="rId1"/>
  <headerFooter alignWithMargins="0">
    <oddHeader>&amp;C&amp;"Arial,Bold"&amp;12ODEC 2022 Transmission Formula Rate Update
Supporting Workpapers &amp;R&amp;12Page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7"/>
  <sheetViews>
    <sheetView tabSelected="1" view="pageLayout" zoomScaleNormal="100" workbookViewId="0">
      <selection activeCell="E7" sqref="E7"/>
    </sheetView>
  </sheetViews>
  <sheetFormatPr defaultRowHeight="13.2" x14ac:dyDescent="0.25"/>
  <cols>
    <col min="1" max="1" width="10.33203125" customWidth="1"/>
    <col min="2" max="2" width="33.5546875" customWidth="1"/>
    <col min="3" max="4" width="4.109375" customWidth="1"/>
    <col min="6" max="6" width="18.33203125" customWidth="1"/>
    <col min="7" max="7" width="14" bestFit="1" customWidth="1"/>
    <col min="8" max="8" width="13" bestFit="1" customWidth="1"/>
  </cols>
  <sheetData>
    <row r="1" spans="1:8" ht="21" x14ac:dyDescent="0.4">
      <c r="A1" s="11" t="s">
        <v>0</v>
      </c>
      <c r="B1" s="18"/>
      <c r="C1" s="18"/>
      <c r="D1" s="18"/>
      <c r="E1" s="18"/>
      <c r="F1" s="18"/>
    </row>
    <row r="2" spans="1:8" ht="21" x14ac:dyDescent="0.4">
      <c r="A2" s="12" t="s">
        <v>34</v>
      </c>
      <c r="B2" s="18"/>
      <c r="C2" s="18"/>
      <c r="D2" s="18"/>
      <c r="E2" s="18"/>
      <c r="F2" s="18"/>
    </row>
    <row r="3" spans="1:8" ht="21" x14ac:dyDescent="0.4">
      <c r="A3" s="12" t="s">
        <v>35</v>
      </c>
      <c r="B3" s="11"/>
      <c r="C3" s="18"/>
      <c r="D3" s="18"/>
      <c r="E3" s="18"/>
      <c r="F3" s="18"/>
    </row>
    <row r="4" spans="1:8" ht="21" x14ac:dyDescent="0.4">
      <c r="A4" s="12" t="s">
        <v>36</v>
      </c>
      <c r="B4" s="11"/>
      <c r="C4" s="18"/>
      <c r="D4" s="18"/>
      <c r="E4" s="18"/>
      <c r="F4" s="18"/>
    </row>
    <row r="5" spans="1:8" ht="21" x14ac:dyDescent="0.4">
      <c r="A5" s="12"/>
      <c r="B5" s="11"/>
      <c r="C5" s="18"/>
      <c r="D5" s="18"/>
      <c r="E5" s="18"/>
      <c r="F5" s="18"/>
      <c r="G5" s="43"/>
    </row>
    <row r="7" spans="1:8" ht="15.6" x14ac:dyDescent="0.3">
      <c r="B7" s="13" t="s">
        <v>30</v>
      </c>
      <c r="C7" s="14"/>
      <c r="D7" s="14"/>
      <c r="E7" s="14"/>
      <c r="F7" s="14"/>
    </row>
    <row r="8" spans="1:8" ht="15" x14ac:dyDescent="0.25">
      <c r="B8" s="15"/>
      <c r="C8" s="15"/>
      <c r="D8" s="15"/>
      <c r="E8" s="15"/>
      <c r="F8" s="15"/>
    </row>
    <row r="9" spans="1:8" ht="15" x14ac:dyDescent="0.25">
      <c r="A9" s="20"/>
      <c r="B9" s="20"/>
      <c r="C9" s="20"/>
      <c r="D9" s="20"/>
      <c r="E9" s="20"/>
      <c r="F9" s="20"/>
      <c r="G9" s="20"/>
      <c r="H9" s="20"/>
    </row>
    <row r="10" spans="1:8" ht="15" x14ac:dyDescent="0.25">
      <c r="A10" s="21" t="s">
        <v>20</v>
      </c>
      <c r="B10" s="20"/>
      <c r="C10" s="20"/>
      <c r="D10" s="20"/>
      <c r="E10" s="20"/>
      <c r="F10" s="22">
        <v>44561</v>
      </c>
      <c r="G10" s="20"/>
      <c r="H10" s="20"/>
    </row>
    <row r="11" spans="1:8" ht="16.8" x14ac:dyDescent="0.4">
      <c r="A11" s="23" t="s">
        <v>21</v>
      </c>
      <c r="B11" s="24" t="s">
        <v>19</v>
      </c>
      <c r="C11" s="24"/>
      <c r="D11" s="24"/>
      <c r="E11" s="24"/>
      <c r="F11" s="24" t="s">
        <v>17</v>
      </c>
      <c r="G11" s="20"/>
      <c r="H11" s="20"/>
    </row>
    <row r="12" spans="1:8" ht="15" x14ac:dyDescent="0.25">
      <c r="A12" s="25" t="s">
        <v>22</v>
      </c>
      <c r="B12" s="25" t="s">
        <v>23</v>
      </c>
      <c r="C12" s="20"/>
      <c r="D12" s="20"/>
      <c r="E12" s="20"/>
      <c r="F12" s="25" t="s">
        <v>24</v>
      </c>
      <c r="G12" s="20"/>
      <c r="H12" s="20"/>
    </row>
    <row r="13" spans="1:8" ht="15" x14ac:dyDescent="0.25">
      <c r="A13" s="25"/>
      <c r="B13" s="25"/>
      <c r="C13" s="20"/>
      <c r="D13" s="20"/>
      <c r="E13" s="20"/>
      <c r="F13" s="25"/>
      <c r="G13" s="20"/>
      <c r="H13" s="20"/>
    </row>
    <row r="14" spans="1:8" ht="15.6" x14ac:dyDescent="0.3">
      <c r="A14" s="25">
        <v>1</v>
      </c>
      <c r="B14" s="31" t="s">
        <v>54</v>
      </c>
      <c r="C14" s="20"/>
      <c r="D14" s="20"/>
      <c r="E14" s="20"/>
      <c r="F14" s="58">
        <v>124972957</v>
      </c>
      <c r="G14" s="20"/>
      <c r="H14" s="72"/>
    </row>
    <row r="15" spans="1:8" ht="15" x14ac:dyDescent="0.25">
      <c r="A15" s="25"/>
      <c r="B15" s="25"/>
      <c r="C15" s="20"/>
      <c r="D15" s="20"/>
      <c r="E15" s="20"/>
      <c r="F15" s="25"/>
      <c r="G15" s="20"/>
      <c r="H15" s="20"/>
    </row>
    <row r="16" spans="1:8" ht="15.6" x14ac:dyDescent="0.3">
      <c r="A16" s="20"/>
      <c r="B16" s="26" t="s">
        <v>32</v>
      </c>
      <c r="C16" s="20"/>
      <c r="D16" s="20"/>
      <c r="E16" s="20"/>
      <c r="F16" s="25"/>
      <c r="G16" s="20"/>
      <c r="H16" s="20"/>
    </row>
    <row r="17" spans="1:8" ht="15" x14ac:dyDescent="0.25">
      <c r="A17" s="25"/>
      <c r="B17" s="25"/>
      <c r="C17" s="20"/>
      <c r="D17" s="20"/>
      <c r="E17" s="20"/>
      <c r="F17" s="25"/>
      <c r="G17" s="20"/>
      <c r="H17" s="20"/>
    </row>
    <row r="18" spans="1:8" ht="15" x14ac:dyDescent="0.25">
      <c r="A18" s="21">
        <v>2</v>
      </c>
      <c r="B18" s="27" t="s">
        <v>15</v>
      </c>
      <c r="C18" s="27"/>
      <c r="D18" s="27"/>
      <c r="E18" s="27"/>
      <c r="F18" s="109">
        <v>12386937.810000001</v>
      </c>
      <c r="G18" s="37"/>
      <c r="H18" s="20"/>
    </row>
    <row r="19" spans="1:8" ht="15" x14ac:dyDescent="0.25">
      <c r="A19" s="21">
        <v>3</v>
      </c>
      <c r="B19" s="27" t="s">
        <v>16</v>
      </c>
      <c r="C19" s="27"/>
      <c r="D19" s="27"/>
      <c r="E19" s="27"/>
      <c r="F19" s="109">
        <v>5961232.5599999996</v>
      </c>
      <c r="G19" s="37"/>
      <c r="H19" s="72">
        <f>6157683-F19</f>
        <v>196450.44000000041</v>
      </c>
    </row>
    <row r="20" spans="1:8" ht="16.8" x14ac:dyDescent="0.4">
      <c r="A20" s="21">
        <v>4</v>
      </c>
      <c r="B20" s="16" t="s">
        <v>68</v>
      </c>
      <c r="C20" s="27"/>
      <c r="D20" s="27"/>
      <c r="E20" s="27"/>
      <c r="F20" s="59">
        <v>63235785.469999999</v>
      </c>
      <c r="G20" s="63"/>
      <c r="H20" s="20"/>
    </row>
    <row r="21" spans="1:8" ht="15" x14ac:dyDescent="0.25">
      <c r="A21" s="21">
        <v>5</v>
      </c>
      <c r="B21" s="27" t="s">
        <v>38</v>
      </c>
      <c r="C21" s="27"/>
      <c r="D21" s="27"/>
      <c r="E21" s="27"/>
      <c r="F21" s="28">
        <f>SUM(F18:F20)</f>
        <v>81583955.840000004</v>
      </c>
      <c r="G21" s="29"/>
      <c r="H21" s="20"/>
    </row>
    <row r="22" spans="1:8" ht="15" x14ac:dyDescent="0.25">
      <c r="A22" s="21"/>
      <c r="B22" s="27"/>
      <c r="C22" s="27"/>
      <c r="D22" s="27"/>
      <c r="E22" s="27"/>
      <c r="F22" s="28"/>
      <c r="G22" s="29"/>
      <c r="H22" s="20"/>
    </row>
    <row r="23" spans="1:8" ht="19.2" x14ac:dyDescent="0.6">
      <c r="A23" s="21"/>
      <c r="B23" s="30" t="s">
        <v>33</v>
      </c>
      <c r="C23" s="27"/>
      <c r="D23" s="27"/>
      <c r="E23" s="27"/>
      <c r="F23" s="28"/>
      <c r="G23" s="29"/>
      <c r="H23" s="20"/>
    </row>
    <row r="24" spans="1:8" ht="15" x14ac:dyDescent="0.25">
      <c r="A24" s="21"/>
      <c r="B24" s="27"/>
      <c r="C24" s="27"/>
      <c r="D24" s="27"/>
      <c r="E24" s="27"/>
      <c r="F24" s="28"/>
      <c r="G24" s="29"/>
      <c r="H24" s="20"/>
    </row>
    <row r="25" spans="1:8" ht="15" x14ac:dyDescent="0.25">
      <c r="A25" s="21">
        <v>6</v>
      </c>
      <c r="B25" s="27" t="s">
        <v>31</v>
      </c>
      <c r="C25" s="27"/>
      <c r="D25" s="27"/>
      <c r="E25" s="27"/>
      <c r="F25" s="109">
        <v>1926088.64</v>
      </c>
      <c r="G25" s="29"/>
      <c r="H25" s="20"/>
    </row>
    <row r="26" spans="1:8" ht="16.8" x14ac:dyDescent="0.4">
      <c r="A26" s="21">
        <v>7</v>
      </c>
      <c r="B26" s="27" t="s">
        <v>37</v>
      </c>
      <c r="C26" s="27"/>
      <c r="D26" s="27"/>
      <c r="E26" s="27"/>
      <c r="F26" s="59">
        <f>+(43389001.44-1926088.64)</f>
        <v>41462912.799999997</v>
      </c>
      <c r="G26" s="29"/>
      <c r="H26" s="20"/>
    </row>
    <row r="27" spans="1:8" ht="15" x14ac:dyDescent="0.25">
      <c r="A27" s="21">
        <v>8</v>
      </c>
      <c r="B27" s="27" t="s">
        <v>39</v>
      </c>
      <c r="C27" s="27"/>
      <c r="D27" s="27"/>
      <c r="E27" s="27"/>
      <c r="F27" s="28">
        <f>SUM(F25:F26)</f>
        <v>43389001.439999998</v>
      </c>
      <c r="G27" s="20"/>
      <c r="H27" s="72">
        <f>42950659-F27</f>
        <v>-438342.43999999762</v>
      </c>
    </row>
    <row r="28" spans="1:8" ht="15" x14ac:dyDescent="0.25">
      <c r="A28" s="21"/>
      <c r="B28" s="20"/>
      <c r="C28" s="20"/>
      <c r="D28" s="20"/>
      <c r="E28" s="20"/>
      <c r="F28" s="20"/>
      <c r="G28" s="20"/>
      <c r="H28" s="20"/>
    </row>
    <row r="29" spans="1:8" ht="15" x14ac:dyDescent="0.25">
      <c r="A29" s="2"/>
      <c r="B29" s="15"/>
      <c r="C29" s="15"/>
      <c r="D29" s="15"/>
      <c r="E29" s="15"/>
      <c r="F29" s="15"/>
    </row>
    <row r="30" spans="1:8" ht="15" x14ac:dyDescent="0.25">
      <c r="B30" s="19"/>
      <c r="C30" s="15"/>
      <c r="D30" s="15"/>
      <c r="E30" s="15"/>
      <c r="F30" s="17"/>
      <c r="G30" s="10"/>
    </row>
    <row r="31" spans="1:8" ht="15" x14ac:dyDescent="0.25">
      <c r="B31" s="16"/>
      <c r="C31" s="16"/>
      <c r="D31" s="16"/>
      <c r="E31" s="16"/>
      <c r="F31" s="16"/>
    </row>
    <row r="32" spans="1:8" ht="15" x14ac:dyDescent="0.25">
      <c r="B32" s="15"/>
      <c r="C32" s="15"/>
      <c r="D32" s="15"/>
      <c r="E32" s="15"/>
      <c r="F32" s="15"/>
    </row>
    <row r="33" spans="2:6" ht="15" x14ac:dyDescent="0.25">
      <c r="B33" s="15"/>
      <c r="C33" s="15"/>
      <c r="D33" s="15"/>
      <c r="E33" s="15"/>
      <c r="F33" s="15"/>
    </row>
    <row r="34" spans="2:6" ht="15" x14ac:dyDescent="0.25">
      <c r="B34" s="15"/>
      <c r="C34" s="15"/>
      <c r="D34" s="15"/>
      <c r="E34" s="15"/>
      <c r="F34" s="15"/>
    </row>
    <row r="35" spans="2:6" ht="15" x14ac:dyDescent="0.25">
      <c r="B35" s="15"/>
      <c r="C35" s="15"/>
      <c r="D35" s="15"/>
      <c r="E35" s="15"/>
      <c r="F35" s="16"/>
    </row>
    <row r="36" spans="2:6" ht="15" x14ac:dyDescent="0.25">
      <c r="B36" s="15"/>
      <c r="C36" s="15"/>
      <c r="D36" s="15"/>
      <c r="E36" s="15"/>
      <c r="F36" s="15"/>
    </row>
    <row r="37" spans="2:6" ht="15" x14ac:dyDescent="0.25">
      <c r="B37" s="15"/>
      <c r="C37" s="15"/>
      <c r="D37" s="15"/>
      <c r="E37" s="15"/>
      <c r="F37" s="15"/>
    </row>
  </sheetData>
  <phoneticPr fontId="3" type="noConversion"/>
  <pageMargins left="0.42" right="0.38" top="1" bottom="1" header="0.5" footer="0.5"/>
  <pageSetup scale="85" orientation="portrait" r:id="rId1"/>
  <headerFooter alignWithMargins="0">
    <oddHeader>&amp;C&amp;"Arial,Bold"&amp;12ODEC 2022 Transmission Formula Rate Update
Supporting Workpapers &amp;R&amp;12Page &amp;P of &amp;N</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7"/>
  <sheetViews>
    <sheetView tabSelected="1" view="pageLayout" zoomScaleNormal="80" workbookViewId="0">
      <selection activeCell="E7" sqref="E7"/>
    </sheetView>
  </sheetViews>
  <sheetFormatPr defaultRowHeight="13.2" x14ac:dyDescent="0.25"/>
  <cols>
    <col min="1" max="1" width="10.33203125" customWidth="1"/>
    <col min="2" max="2" width="53.6640625" customWidth="1"/>
    <col min="3" max="6" width="12.33203125" bestFit="1" customWidth="1"/>
    <col min="7" max="7" width="14.33203125" bestFit="1" customWidth="1"/>
    <col min="8" max="8" width="13.109375" customWidth="1"/>
    <col min="9" max="10" width="12.33203125" bestFit="1" customWidth="1"/>
    <col min="11" max="11" width="15.109375" customWidth="1"/>
    <col min="12" max="12" width="16.109375" customWidth="1"/>
    <col min="13" max="13" width="13.6640625" customWidth="1"/>
    <col min="14" max="14" width="14.33203125" bestFit="1" customWidth="1"/>
    <col min="15" max="15" width="2.88671875" customWidth="1"/>
    <col min="16" max="16" width="15.33203125" customWidth="1"/>
  </cols>
  <sheetData>
    <row r="1" spans="1:16" ht="15.6" x14ac:dyDescent="0.3">
      <c r="B1" s="35" t="s">
        <v>0</v>
      </c>
      <c r="C1" s="18"/>
      <c r="D1" s="18"/>
      <c r="E1" s="18"/>
      <c r="F1" s="18"/>
      <c r="G1" s="18"/>
      <c r="H1" s="18"/>
      <c r="I1" s="18"/>
      <c r="J1" s="18"/>
      <c r="K1" s="18"/>
      <c r="L1" s="18"/>
      <c r="M1" s="18"/>
      <c r="N1" s="18"/>
      <c r="O1" s="18"/>
      <c r="P1" s="18"/>
    </row>
    <row r="2" spans="1:16" ht="15.6" x14ac:dyDescent="0.3">
      <c r="B2" s="35" t="s">
        <v>55</v>
      </c>
      <c r="C2" s="18"/>
      <c r="D2" s="18"/>
      <c r="E2" s="18"/>
      <c r="F2" s="18"/>
      <c r="G2" s="18"/>
      <c r="H2" s="18"/>
      <c r="I2" s="18"/>
      <c r="J2" s="18"/>
      <c r="K2" s="18"/>
      <c r="L2" s="18"/>
      <c r="M2" s="18"/>
      <c r="N2" s="18"/>
      <c r="O2" s="18"/>
      <c r="P2" s="18"/>
    </row>
    <row r="3" spans="1:16" ht="15.6" x14ac:dyDescent="0.3">
      <c r="B3" s="35" t="str">
        <f>$C$4&amp;" Projected Budget"</f>
        <v>2022 Projected Budget</v>
      </c>
      <c r="C3" s="18"/>
      <c r="D3" s="18"/>
      <c r="E3" s="18"/>
      <c r="F3" s="18"/>
      <c r="G3" s="18"/>
      <c r="H3" s="18"/>
      <c r="I3" s="18"/>
      <c r="J3" s="18"/>
      <c r="K3" s="18"/>
      <c r="L3" s="18"/>
      <c r="M3" s="18"/>
      <c r="N3" s="18"/>
      <c r="O3" s="18"/>
      <c r="P3" s="18"/>
    </row>
    <row r="4" spans="1:16" x14ac:dyDescent="0.25">
      <c r="B4" t="s">
        <v>87</v>
      </c>
      <c r="C4">
        <v>2022</v>
      </c>
    </row>
    <row r="5" spans="1:16" x14ac:dyDescent="0.25">
      <c r="C5" s="43"/>
    </row>
    <row r="6" spans="1:16" ht="14.4" x14ac:dyDescent="0.3">
      <c r="A6" s="73"/>
      <c r="B6" s="32"/>
    </row>
    <row r="7" spans="1:16" ht="15.6" x14ac:dyDescent="0.3">
      <c r="C7" s="79" t="str">
        <f>"Jan-"&amp;RIGHT($C$4,2)</f>
        <v>Jan-22</v>
      </c>
      <c r="D7" s="79" t="str">
        <f>"Feb-"&amp;RIGHT($C$4,2)</f>
        <v>Feb-22</v>
      </c>
      <c r="E7" s="79" t="str">
        <f>"Mar-"&amp;RIGHT($C$4,2)</f>
        <v>Mar-22</v>
      </c>
      <c r="F7" s="79" t="str">
        <f>"Apr-"&amp;RIGHT($C$4,2)</f>
        <v>Apr-22</v>
      </c>
      <c r="G7" s="79" t="str">
        <f>"May-"&amp;RIGHT($C$4,2)</f>
        <v>May-22</v>
      </c>
      <c r="H7" s="79" t="str">
        <f>"Jun-"&amp;RIGHT($C$4,2)</f>
        <v>Jun-22</v>
      </c>
      <c r="I7" s="79" t="str">
        <f>"Jul-"&amp;RIGHT($C$4,2)</f>
        <v>Jul-22</v>
      </c>
      <c r="J7" s="79" t="str">
        <f>"Aug-"&amp;RIGHT($C$4,2)</f>
        <v>Aug-22</v>
      </c>
      <c r="K7" s="79" t="str">
        <f>"Sep-"&amp;RIGHT($C$4,2)</f>
        <v>Sep-22</v>
      </c>
      <c r="L7" s="79" t="str">
        <f>"Oct-"&amp;RIGHT($C$4,2)</f>
        <v>Oct-22</v>
      </c>
      <c r="M7" s="79" t="str">
        <f>"Nov-"&amp;RIGHT($C$4,2)</f>
        <v>Nov-22</v>
      </c>
      <c r="N7" s="79" t="str">
        <f>"Dec-"&amp;RIGHT($C$4,2)</f>
        <v>Dec-22</v>
      </c>
      <c r="P7" s="78" t="str">
        <f>"Total "&amp;$C$4</f>
        <v>Total 2022</v>
      </c>
    </row>
    <row r="8" spans="1:16" ht="15.6" x14ac:dyDescent="0.3">
      <c r="B8" s="33" t="s">
        <v>56</v>
      </c>
      <c r="C8" s="38"/>
      <c r="D8" s="38"/>
      <c r="E8" s="38"/>
      <c r="F8" s="38"/>
      <c r="G8" s="38"/>
      <c r="H8" s="38"/>
      <c r="I8" s="38"/>
      <c r="J8" s="38"/>
      <c r="K8" s="38"/>
      <c r="L8" s="38"/>
      <c r="M8" s="38"/>
      <c r="N8" s="38"/>
      <c r="O8" s="38"/>
      <c r="P8" s="38"/>
    </row>
    <row r="9" spans="1:16" ht="15" x14ac:dyDescent="0.25">
      <c r="A9" s="74">
        <v>241493</v>
      </c>
      <c r="B9" s="34" t="s">
        <v>128</v>
      </c>
      <c r="C9" s="39">
        <v>2000</v>
      </c>
      <c r="D9" s="39">
        <v>2000</v>
      </c>
      <c r="E9" s="39">
        <v>2000</v>
      </c>
      <c r="F9" s="39">
        <v>2000</v>
      </c>
      <c r="G9" s="39">
        <v>2000</v>
      </c>
      <c r="H9" s="39">
        <v>0</v>
      </c>
      <c r="I9" s="39">
        <v>0</v>
      </c>
      <c r="J9" s="39">
        <v>2000</v>
      </c>
      <c r="K9" s="39">
        <v>4000</v>
      </c>
      <c r="L9" s="39">
        <v>2000</v>
      </c>
      <c r="M9" s="39">
        <v>2000</v>
      </c>
      <c r="N9" s="39">
        <v>0</v>
      </c>
      <c r="O9" s="39"/>
      <c r="P9" s="39">
        <v>20000</v>
      </c>
    </row>
    <row r="10" spans="1:16" ht="15" x14ac:dyDescent="0.25">
      <c r="A10" s="74">
        <v>241354</v>
      </c>
      <c r="B10" s="34" t="s">
        <v>129</v>
      </c>
      <c r="C10" s="15">
        <v>168000</v>
      </c>
      <c r="D10" s="15">
        <v>168000</v>
      </c>
      <c r="E10" s="15">
        <v>133000</v>
      </c>
      <c r="F10" s="61">
        <v>0</v>
      </c>
      <c r="G10" s="61">
        <v>0</v>
      </c>
      <c r="H10" s="15">
        <v>0</v>
      </c>
      <c r="I10" s="15">
        <v>0</v>
      </c>
      <c r="J10" s="15">
        <v>0</v>
      </c>
      <c r="K10" s="15">
        <v>0</v>
      </c>
      <c r="L10" s="15">
        <v>0</v>
      </c>
      <c r="M10" s="15">
        <v>0</v>
      </c>
      <c r="N10" s="15">
        <v>0</v>
      </c>
      <c r="O10" s="39"/>
      <c r="P10" s="38">
        <v>469000</v>
      </c>
    </row>
    <row r="11" spans="1:16" ht="15" x14ac:dyDescent="0.25">
      <c r="A11" s="74">
        <v>241436</v>
      </c>
      <c r="B11" s="34" t="s">
        <v>130</v>
      </c>
      <c r="C11" s="15">
        <v>0</v>
      </c>
      <c r="D11" s="15">
        <v>0</v>
      </c>
      <c r="E11" s="15">
        <v>0</v>
      </c>
      <c r="F11" s="61">
        <v>0</v>
      </c>
      <c r="G11" s="61">
        <v>0</v>
      </c>
      <c r="H11" s="15">
        <v>0</v>
      </c>
      <c r="I11" s="15">
        <v>0</v>
      </c>
      <c r="J11" s="15">
        <v>0</v>
      </c>
      <c r="K11" s="15">
        <v>224000</v>
      </c>
      <c r="L11" s="15">
        <v>224000</v>
      </c>
      <c r="M11" s="15">
        <v>0</v>
      </c>
      <c r="N11" s="15">
        <v>0</v>
      </c>
      <c r="O11" s="39"/>
      <c r="P11" s="38">
        <v>448000</v>
      </c>
    </row>
    <row r="12" spans="1:16" ht="15" x14ac:dyDescent="0.25">
      <c r="A12" s="74">
        <v>241437</v>
      </c>
      <c r="B12" s="34" t="s">
        <v>64</v>
      </c>
      <c r="C12" s="61">
        <v>0</v>
      </c>
      <c r="D12" s="61">
        <v>0</v>
      </c>
      <c r="E12" s="61">
        <v>224000</v>
      </c>
      <c r="F12" s="61">
        <v>224000</v>
      </c>
      <c r="G12" s="61">
        <v>0</v>
      </c>
      <c r="H12" s="61">
        <v>0</v>
      </c>
      <c r="I12" s="61">
        <v>0</v>
      </c>
      <c r="J12" s="61">
        <v>0</v>
      </c>
      <c r="K12" s="61">
        <v>0</v>
      </c>
      <c r="L12" s="61">
        <v>0</v>
      </c>
      <c r="M12" s="61">
        <v>0</v>
      </c>
      <c r="N12" s="61">
        <v>0</v>
      </c>
      <c r="O12" s="39"/>
      <c r="P12" s="38">
        <v>448000</v>
      </c>
    </row>
    <row r="13" spans="1:16" ht="15" x14ac:dyDescent="0.25">
      <c r="A13" s="74">
        <v>241456</v>
      </c>
      <c r="B13" s="55" t="s">
        <v>139</v>
      </c>
      <c r="C13" s="60">
        <v>120000</v>
      </c>
      <c r="D13" s="60">
        <v>300000</v>
      </c>
      <c r="E13" s="60">
        <v>75000</v>
      </c>
      <c r="F13" s="60">
        <v>10000</v>
      </c>
      <c r="G13" s="60">
        <v>0</v>
      </c>
      <c r="H13" s="60">
        <v>0</v>
      </c>
      <c r="I13" s="60">
        <v>0</v>
      </c>
      <c r="J13" s="60">
        <v>0</v>
      </c>
      <c r="K13" s="60">
        <v>0</v>
      </c>
      <c r="L13" s="60">
        <v>0</v>
      </c>
      <c r="M13" s="60">
        <v>0</v>
      </c>
      <c r="N13" s="60">
        <v>0</v>
      </c>
      <c r="O13" s="39"/>
      <c r="P13" s="38">
        <v>505000</v>
      </c>
    </row>
    <row r="14" spans="1:16" ht="15" x14ac:dyDescent="0.25">
      <c r="A14" s="74">
        <v>241460</v>
      </c>
      <c r="B14" s="55" t="s">
        <v>76</v>
      </c>
      <c r="C14" s="61">
        <v>58000</v>
      </c>
      <c r="D14" s="61">
        <v>58000</v>
      </c>
      <c r="E14" s="61">
        <v>95000</v>
      </c>
      <c r="F14" s="61">
        <v>25000</v>
      </c>
      <c r="G14" s="61">
        <v>18000</v>
      </c>
      <c r="H14" s="60">
        <v>18000</v>
      </c>
      <c r="I14" s="60">
        <v>18000</v>
      </c>
      <c r="J14" s="60">
        <v>25000</v>
      </c>
      <c r="K14" s="60">
        <v>25000</v>
      </c>
      <c r="L14" s="60">
        <v>400000</v>
      </c>
      <c r="M14" s="60">
        <v>400000</v>
      </c>
      <c r="N14" s="60">
        <v>400000</v>
      </c>
      <c r="O14" s="39"/>
      <c r="P14" s="38">
        <v>1540000</v>
      </c>
    </row>
    <row r="15" spans="1:16" ht="15" x14ac:dyDescent="0.25">
      <c r="A15" s="75" t="s">
        <v>131</v>
      </c>
      <c r="B15" s="55" t="s">
        <v>77</v>
      </c>
      <c r="C15" s="61">
        <v>10000</v>
      </c>
      <c r="D15" s="61">
        <v>20000</v>
      </c>
      <c r="E15" s="61">
        <v>10000</v>
      </c>
      <c r="F15" s="61">
        <v>10000</v>
      </c>
      <c r="G15" s="61">
        <v>20000</v>
      </c>
      <c r="H15" s="61">
        <v>10000</v>
      </c>
      <c r="I15" s="61">
        <v>22500</v>
      </c>
      <c r="J15" s="61">
        <v>225000</v>
      </c>
      <c r="K15" s="61">
        <v>225000</v>
      </c>
      <c r="L15" s="61">
        <v>397000</v>
      </c>
      <c r="M15" s="61">
        <v>397000</v>
      </c>
      <c r="N15" s="61">
        <v>397000</v>
      </c>
      <c r="O15" s="38"/>
      <c r="P15" s="38">
        <v>1743500</v>
      </c>
    </row>
    <row r="16" spans="1:16" ht="15" x14ac:dyDescent="0.25">
      <c r="A16" s="74">
        <v>241346</v>
      </c>
      <c r="B16" s="55" t="s">
        <v>132</v>
      </c>
      <c r="C16" s="61">
        <v>0</v>
      </c>
      <c r="D16" s="61">
        <v>18000</v>
      </c>
      <c r="E16" s="61">
        <v>18000</v>
      </c>
      <c r="F16" s="61">
        <v>18000</v>
      </c>
      <c r="G16" s="61">
        <v>18000</v>
      </c>
      <c r="H16" s="61">
        <v>18000</v>
      </c>
      <c r="I16" s="61">
        <v>18000</v>
      </c>
      <c r="J16" s="61">
        <v>18000</v>
      </c>
      <c r="K16" s="61">
        <v>18000</v>
      </c>
      <c r="L16" s="61">
        <v>18000</v>
      </c>
      <c r="M16" s="61">
        <v>18000</v>
      </c>
      <c r="N16" s="61">
        <v>18000</v>
      </c>
      <c r="O16" s="38"/>
      <c r="P16" s="38">
        <v>198000</v>
      </c>
    </row>
    <row r="17" spans="1:16" ht="15" x14ac:dyDescent="0.25">
      <c r="A17" s="74">
        <v>241516</v>
      </c>
      <c r="B17" s="55" t="s">
        <v>140</v>
      </c>
      <c r="C17" s="61">
        <v>160000</v>
      </c>
      <c r="D17" s="61">
        <v>160000</v>
      </c>
      <c r="E17" s="61">
        <v>160000</v>
      </c>
      <c r="F17" s="61">
        <v>160000</v>
      </c>
      <c r="G17" s="61">
        <v>160000</v>
      </c>
      <c r="H17" s="61">
        <v>160000</v>
      </c>
      <c r="I17" s="61">
        <v>160000</v>
      </c>
      <c r="J17" s="61">
        <v>160000</v>
      </c>
      <c r="K17" s="61">
        <v>160000</v>
      </c>
      <c r="L17" s="61">
        <v>160000</v>
      </c>
      <c r="M17" s="61">
        <v>160000</v>
      </c>
      <c r="N17" s="61">
        <v>160000</v>
      </c>
      <c r="O17" s="38"/>
      <c r="P17" s="38">
        <v>1920000</v>
      </c>
    </row>
    <row r="18" spans="1:16" ht="15" x14ac:dyDescent="0.25">
      <c r="A18" s="74">
        <v>241519</v>
      </c>
      <c r="B18" s="55" t="s">
        <v>141</v>
      </c>
      <c r="C18" s="61">
        <v>20000</v>
      </c>
      <c r="D18" s="61">
        <v>20000</v>
      </c>
      <c r="E18" s="61">
        <v>20000</v>
      </c>
      <c r="F18" s="61">
        <v>0</v>
      </c>
      <c r="G18" s="61">
        <v>0</v>
      </c>
      <c r="H18" s="61">
        <v>0</v>
      </c>
      <c r="I18" s="61">
        <v>0</v>
      </c>
      <c r="J18" s="61">
        <v>0</v>
      </c>
      <c r="K18" s="61">
        <v>175000</v>
      </c>
      <c r="L18" s="61">
        <v>175000</v>
      </c>
      <c r="M18" s="61">
        <v>175000</v>
      </c>
      <c r="N18" s="61">
        <v>0</v>
      </c>
      <c r="O18" s="38"/>
      <c r="P18" s="38">
        <v>585000</v>
      </c>
    </row>
    <row r="19" spans="1:16" ht="15" x14ac:dyDescent="0.25">
      <c r="A19" s="74">
        <v>241520</v>
      </c>
      <c r="B19" s="55" t="s">
        <v>142</v>
      </c>
      <c r="C19" s="61">
        <v>20000</v>
      </c>
      <c r="D19" s="61">
        <v>20000</v>
      </c>
      <c r="E19" s="61">
        <v>10000</v>
      </c>
      <c r="F19" s="61">
        <v>10000</v>
      </c>
      <c r="G19" s="61">
        <v>0</v>
      </c>
      <c r="H19" s="61">
        <v>0</v>
      </c>
      <c r="I19" s="61">
        <v>0</v>
      </c>
      <c r="J19" s="61">
        <v>0</v>
      </c>
      <c r="K19" s="61">
        <v>30000</v>
      </c>
      <c r="L19" s="61">
        <v>30000</v>
      </c>
      <c r="M19" s="61">
        <v>30000</v>
      </c>
      <c r="N19" s="61">
        <v>0</v>
      </c>
      <c r="O19" s="38"/>
      <c r="P19" s="38">
        <v>150000</v>
      </c>
    </row>
    <row r="20" spans="1:16" ht="15" x14ac:dyDescent="0.25">
      <c r="A20" s="74">
        <v>241521</v>
      </c>
      <c r="B20" s="55" t="s">
        <v>143</v>
      </c>
      <c r="C20" s="61">
        <v>20000</v>
      </c>
      <c r="D20" s="61">
        <v>20000</v>
      </c>
      <c r="E20" s="61">
        <v>10000</v>
      </c>
      <c r="F20" s="61">
        <v>10000</v>
      </c>
      <c r="G20" s="61">
        <v>0</v>
      </c>
      <c r="H20" s="61">
        <v>0</v>
      </c>
      <c r="I20" s="61">
        <v>0</v>
      </c>
      <c r="J20" s="61">
        <v>0</v>
      </c>
      <c r="K20" s="61">
        <v>30000</v>
      </c>
      <c r="L20" s="61">
        <v>30000</v>
      </c>
      <c r="M20" s="61">
        <v>30000</v>
      </c>
      <c r="N20" s="61">
        <v>0</v>
      </c>
      <c r="O20" s="38"/>
      <c r="P20" s="38">
        <v>150000</v>
      </c>
    </row>
    <row r="21" spans="1:16" ht="15" x14ac:dyDescent="0.25">
      <c r="A21" s="74">
        <v>241532</v>
      </c>
      <c r="B21" s="55" t="s">
        <v>144</v>
      </c>
      <c r="C21" s="61">
        <v>5000</v>
      </c>
      <c r="D21" s="61">
        <v>5000</v>
      </c>
      <c r="E21" s="61">
        <v>5000</v>
      </c>
      <c r="F21" s="61">
        <v>5000</v>
      </c>
      <c r="G21" s="61">
        <v>5000</v>
      </c>
      <c r="H21" s="61">
        <v>5000</v>
      </c>
      <c r="I21" s="61">
        <v>5000</v>
      </c>
      <c r="J21" s="61">
        <v>5000</v>
      </c>
      <c r="K21" s="61">
        <v>5000</v>
      </c>
      <c r="L21" s="61">
        <v>5000</v>
      </c>
      <c r="M21" s="61">
        <v>5000</v>
      </c>
      <c r="N21" s="61">
        <v>5000</v>
      </c>
      <c r="O21" s="38"/>
      <c r="P21" s="38">
        <v>60000</v>
      </c>
    </row>
    <row r="22" spans="1:16" ht="15" x14ac:dyDescent="0.25">
      <c r="A22" s="74">
        <v>241533</v>
      </c>
      <c r="B22" s="55" t="s">
        <v>133</v>
      </c>
      <c r="C22" s="61">
        <v>5000</v>
      </c>
      <c r="D22" s="61">
        <v>5000</v>
      </c>
      <c r="E22" s="61">
        <v>5000</v>
      </c>
      <c r="F22" s="61">
        <v>5000</v>
      </c>
      <c r="G22" s="61">
        <v>5000</v>
      </c>
      <c r="H22" s="61">
        <v>5000</v>
      </c>
      <c r="I22" s="61">
        <v>5000</v>
      </c>
      <c r="J22" s="61">
        <v>5000</v>
      </c>
      <c r="K22" s="61">
        <v>5000</v>
      </c>
      <c r="L22" s="61">
        <v>5000</v>
      </c>
      <c r="M22" s="61">
        <v>5000</v>
      </c>
      <c r="N22" s="61">
        <v>5000</v>
      </c>
      <c r="O22" s="38"/>
      <c r="P22" s="38">
        <v>60000</v>
      </c>
    </row>
    <row r="23" spans="1:16" ht="15" x14ac:dyDescent="0.25">
      <c r="A23" s="74">
        <v>241563</v>
      </c>
      <c r="B23" s="55" t="s">
        <v>145</v>
      </c>
      <c r="C23" s="61">
        <v>25000</v>
      </c>
      <c r="D23" s="61">
        <v>25000</v>
      </c>
      <c r="E23" s="61">
        <v>25000</v>
      </c>
      <c r="F23" s="61">
        <v>25000</v>
      </c>
      <c r="G23" s="61">
        <v>25000</v>
      </c>
      <c r="H23" s="61">
        <v>25000</v>
      </c>
      <c r="I23" s="61">
        <v>25000</v>
      </c>
      <c r="J23" s="61">
        <v>25000</v>
      </c>
      <c r="K23" s="61">
        <v>275000</v>
      </c>
      <c r="L23" s="61">
        <v>275000</v>
      </c>
      <c r="M23" s="61">
        <v>275000</v>
      </c>
      <c r="N23" s="61">
        <v>275000</v>
      </c>
      <c r="O23" s="38"/>
      <c r="P23" s="38">
        <v>1300000</v>
      </c>
    </row>
    <row r="24" spans="1:16" ht="15" x14ac:dyDescent="0.25">
      <c r="A24" s="74">
        <v>241564</v>
      </c>
      <c r="B24" s="55" t="s">
        <v>146</v>
      </c>
      <c r="C24" s="61">
        <v>0</v>
      </c>
      <c r="D24" s="61">
        <v>0</v>
      </c>
      <c r="E24" s="61">
        <v>0</v>
      </c>
      <c r="F24" s="61">
        <v>0</v>
      </c>
      <c r="G24" s="61">
        <v>0</v>
      </c>
      <c r="H24" s="61">
        <v>0</v>
      </c>
      <c r="I24" s="61">
        <v>0</v>
      </c>
      <c r="J24" s="61">
        <v>0</v>
      </c>
      <c r="K24" s="61">
        <v>150000</v>
      </c>
      <c r="L24" s="61">
        <v>150000</v>
      </c>
      <c r="M24" s="61">
        <v>150000</v>
      </c>
      <c r="N24" s="61">
        <v>150000</v>
      </c>
      <c r="O24" s="38"/>
      <c r="P24" s="38">
        <v>600000</v>
      </c>
    </row>
    <row r="26" spans="1:16" ht="16.2" thickBot="1" x14ac:dyDescent="0.35">
      <c r="B26" s="40" t="s">
        <v>57</v>
      </c>
      <c r="C26" s="41">
        <f t="shared" ref="C26:N26" si="0">SUM(C9:C25)</f>
        <v>613000</v>
      </c>
      <c r="D26" s="41">
        <f t="shared" si="0"/>
        <v>821000</v>
      </c>
      <c r="E26" s="41">
        <f t="shared" si="0"/>
        <v>792000</v>
      </c>
      <c r="F26" s="41">
        <f t="shared" si="0"/>
        <v>504000</v>
      </c>
      <c r="G26" s="41">
        <f t="shared" si="0"/>
        <v>253000</v>
      </c>
      <c r="H26" s="41">
        <f t="shared" si="0"/>
        <v>241000</v>
      </c>
      <c r="I26" s="41">
        <f t="shared" si="0"/>
        <v>253500</v>
      </c>
      <c r="J26" s="41">
        <f t="shared" si="0"/>
        <v>465000</v>
      </c>
      <c r="K26" s="41">
        <f t="shared" si="0"/>
        <v>1326000</v>
      </c>
      <c r="L26" s="41">
        <f t="shared" si="0"/>
        <v>1871000</v>
      </c>
      <c r="M26" s="41">
        <f t="shared" si="0"/>
        <v>1647000</v>
      </c>
      <c r="N26" s="41">
        <f t="shared" si="0"/>
        <v>1410000</v>
      </c>
      <c r="O26" s="41"/>
      <c r="P26" s="41">
        <f>SUM(P9:P25)</f>
        <v>10196500</v>
      </c>
    </row>
    <row r="27" spans="1:16" ht="13.8" thickTop="1" x14ac:dyDescent="0.25"/>
  </sheetData>
  <pageMargins left="0.42" right="0.38" top="1" bottom="1" header="0.5" footer="0.5"/>
  <pageSetup scale="85" orientation="landscape" r:id="rId1"/>
  <headerFooter alignWithMargins="0">
    <oddHeader>&amp;C&amp;"Arial,Bold"&amp;12ODEC 2022 Transmission Formula Rate Update
Supporting Workpapers &amp;R&amp;12Page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4"/>
  <sheetViews>
    <sheetView tabSelected="1" view="pageLayout" topLeftCell="E1" zoomScaleNormal="85" workbookViewId="0">
      <selection activeCell="E7" sqref="E7"/>
    </sheetView>
  </sheetViews>
  <sheetFormatPr defaultColWidth="9.109375" defaultRowHeight="15" x14ac:dyDescent="0.25"/>
  <cols>
    <col min="1" max="1" width="9.88671875" style="66" customWidth="1"/>
    <col min="2" max="2" width="40.44140625" style="64" customWidth="1"/>
    <col min="3" max="3" width="13.33203125" style="64" customWidth="1"/>
    <col min="4" max="4" width="2.6640625" style="64" customWidth="1"/>
    <col min="5" max="5" width="15.109375" style="64" customWidth="1"/>
    <col min="6" max="6" width="14.5546875" style="64" customWidth="1"/>
    <col min="7" max="7" width="15.109375" style="64" customWidth="1"/>
    <col min="8" max="8" width="2.6640625" style="64" customWidth="1"/>
    <col min="9" max="12" width="13.33203125" style="64" customWidth="1"/>
    <col min="13" max="13" width="15.33203125" style="64" customWidth="1"/>
    <col min="14" max="14" width="14.5546875" style="64" customWidth="1"/>
    <col min="15" max="15" width="13.33203125" style="64" customWidth="1"/>
    <col min="16" max="16" width="14.5546875" style="64" customWidth="1"/>
    <col min="17" max="19" width="13.33203125" style="64" customWidth="1"/>
    <col min="20" max="20" width="15.5546875" style="64" customWidth="1"/>
    <col min="21" max="21" width="2.6640625" style="64" customWidth="1"/>
    <col min="22" max="22" width="17.6640625" style="89" customWidth="1"/>
    <col min="23" max="16384" width="9.109375" style="89"/>
  </cols>
  <sheetData>
    <row r="1" spans="1:22" ht="15.6" x14ac:dyDescent="0.3">
      <c r="B1" s="142" t="s">
        <v>74</v>
      </c>
      <c r="C1" s="142"/>
      <c r="D1" s="142"/>
      <c r="E1" s="142"/>
      <c r="F1" s="142"/>
      <c r="G1" s="142"/>
      <c r="H1" s="142"/>
      <c r="I1" s="142"/>
      <c r="J1" s="142"/>
      <c r="K1" s="142"/>
      <c r="L1" s="142"/>
      <c r="M1" s="142"/>
      <c r="N1" s="142"/>
      <c r="O1" s="142"/>
      <c r="P1" s="142"/>
      <c r="Q1" s="142"/>
      <c r="R1" s="142"/>
      <c r="S1" s="142"/>
      <c r="T1" s="142"/>
      <c r="U1" s="71"/>
    </row>
    <row r="2" spans="1:22" ht="15.6" x14ac:dyDescent="0.3">
      <c r="B2" s="143" t="s">
        <v>75</v>
      </c>
      <c r="C2" s="143"/>
      <c r="D2" s="143"/>
      <c r="E2" s="143"/>
      <c r="F2" s="143"/>
      <c r="G2" s="143"/>
      <c r="H2" s="143"/>
      <c r="I2" s="143"/>
      <c r="J2" s="143"/>
      <c r="K2" s="143"/>
      <c r="L2" s="143"/>
      <c r="M2" s="143"/>
      <c r="N2" s="143"/>
      <c r="O2" s="143"/>
      <c r="P2" s="143"/>
      <c r="Q2" s="143"/>
      <c r="R2" s="143"/>
      <c r="S2" s="143"/>
      <c r="T2" s="143"/>
      <c r="U2" s="65"/>
    </row>
    <row r="3" spans="1:22" ht="15.6" x14ac:dyDescent="0.3">
      <c r="B3" s="143" t="str">
        <f>$C$4&amp;" In Service Forecast"</f>
        <v>2022 In Service Forecast</v>
      </c>
      <c r="C3" s="143"/>
      <c r="D3" s="143"/>
      <c r="E3" s="143"/>
      <c r="F3" s="143"/>
      <c r="G3" s="143"/>
      <c r="H3" s="143"/>
      <c r="I3" s="143"/>
      <c r="J3" s="143"/>
      <c r="K3" s="143"/>
      <c r="L3" s="143"/>
      <c r="M3" s="143"/>
      <c r="N3" s="143"/>
      <c r="O3" s="143"/>
      <c r="P3" s="143"/>
      <c r="Q3" s="143"/>
      <c r="R3" s="143"/>
      <c r="S3" s="143"/>
      <c r="T3" s="143"/>
      <c r="U3" s="65"/>
    </row>
    <row r="4" spans="1:22" ht="15.6" x14ac:dyDescent="0.3">
      <c r="B4" s="15" t="s">
        <v>87</v>
      </c>
      <c r="C4" s="15">
        <f>'Workpaper page 3_CWIP_ISL'!C4</f>
        <v>2022</v>
      </c>
      <c r="D4" s="65"/>
      <c r="E4" s="67"/>
      <c r="F4" s="67"/>
      <c r="G4" s="67"/>
      <c r="H4" s="65"/>
      <c r="I4" s="67"/>
      <c r="J4" s="65"/>
      <c r="K4" s="65"/>
      <c r="L4" s="65"/>
      <c r="M4" s="65"/>
      <c r="N4" s="65"/>
      <c r="O4" s="65"/>
      <c r="P4" s="65"/>
      <c r="Q4" s="65"/>
      <c r="R4" s="65"/>
      <c r="S4" s="65"/>
      <c r="T4" s="65"/>
      <c r="U4" s="65"/>
    </row>
    <row r="5" spans="1:22" ht="15.6" x14ac:dyDescent="0.3">
      <c r="B5" s="67"/>
      <c r="C5" s="67"/>
      <c r="D5" s="65"/>
      <c r="E5" s="67"/>
      <c r="F5" s="67"/>
      <c r="G5" s="67"/>
      <c r="H5" s="65"/>
      <c r="I5" s="67"/>
      <c r="J5" s="65"/>
      <c r="K5" s="65"/>
      <c r="L5" s="65"/>
      <c r="M5" s="65"/>
      <c r="N5" s="65"/>
      <c r="O5" s="65"/>
      <c r="P5" s="65"/>
      <c r="Q5" s="65"/>
      <c r="R5" s="65"/>
      <c r="S5" s="65"/>
      <c r="T5" s="65"/>
      <c r="U5" s="65"/>
    </row>
    <row r="6" spans="1:22" ht="15.6" x14ac:dyDescent="0.3">
      <c r="A6" s="68"/>
      <c r="C6" s="90" t="s">
        <v>78</v>
      </c>
      <c r="E6" s="90" t="s">
        <v>79</v>
      </c>
      <c r="F6" s="91">
        <f>$C$4</f>
        <v>2022</v>
      </c>
      <c r="G6" s="90" t="s">
        <v>80</v>
      </c>
    </row>
    <row r="7" spans="1:22" ht="15.6" x14ac:dyDescent="0.3">
      <c r="A7" s="69"/>
      <c r="B7" s="70"/>
      <c r="C7" s="92" t="s">
        <v>81</v>
      </c>
      <c r="D7" s="89"/>
      <c r="E7" s="92" t="s">
        <v>82</v>
      </c>
      <c r="F7" s="92" t="s">
        <v>83</v>
      </c>
      <c r="G7" s="92" t="s">
        <v>84</v>
      </c>
      <c r="H7" s="89"/>
      <c r="I7" s="88" t="str">
        <f>"Jan-"&amp;RIGHT($C$4,2)</f>
        <v>Jan-22</v>
      </c>
      <c r="J7" s="88" t="str">
        <f>"Feb-"&amp;RIGHT($C$4,2)</f>
        <v>Feb-22</v>
      </c>
      <c r="K7" s="88" t="str">
        <f>"Mar-"&amp;RIGHT($C$4,2)</f>
        <v>Mar-22</v>
      </c>
      <c r="L7" s="88" t="str">
        <f>"Apr-"&amp;RIGHT($C$4,2)</f>
        <v>Apr-22</v>
      </c>
      <c r="M7" s="88" t="str">
        <f>"May-"&amp;RIGHT($C$4,2)</f>
        <v>May-22</v>
      </c>
      <c r="N7" s="88" t="str">
        <f>"Jun-"&amp;RIGHT($C$4,2)</f>
        <v>Jun-22</v>
      </c>
      <c r="O7" s="88" t="str">
        <f>"Jul-"&amp;RIGHT($C$4,2)</f>
        <v>Jul-22</v>
      </c>
      <c r="P7" s="88" t="str">
        <f>"Aug-"&amp;RIGHT($C$4,2)</f>
        <v>Aug-22</v>
      </c>
      <c r="Q7" s="88" t="str">
        <f>"Sep-"&amp;RIGHT($C$4,2)</f>
        <v>Sep-22</v>
      </c>
      <c r="R7" s="88" t="str">
        <f>"Oct-"&amp;RIGHT($C$4,2)</f>
        <v>Oct-22</v>
      </c>
      <c r="S7" s="88" t="str">
        <f>"Nov-"&amp;RIGHT($C$4,2)</f>
        <v>Nov-22</v>
      </c>
      <c r="T7" s="88" t="str">
        <f>"Dec-"&amp;RIGHT($C$4,2)</f>
        <v>Dec-22</v>
      </c>
      <c r="U7" s="89"/>
      <c r="V7" s="93" t="str">
        <f>"Total "&amp;$C$4</f>
        <v>Total 2022</v>
      </c>
    </row>
    <row r="8" spans="1:22" ht="15.6" x14ac:dyDescent="0.3">
      <c r="A8" s="94"/>
      <c r="B8" s="33" t="s">
        <v>56</v>
      </c>
      <c r="C8" s="33"/>
      <c r="E8" s="110"/>
      <c r="F8" s="110"/>
      <c r="G8" s="110"/>
      <c r="H8" s="110"/>
      <c r="I8" s="110"/>
      <c r="J8" s="110"/>
      <c r="K8" s="110"/>
      <c r="L8" s="110"/>
      <c r="M8" s="110"/>
      <c r="N8" s="110"/>
      <c r="O8" s="110"/>
      <c r="P8" s="110"/>
      <c r="Q8" s="110"/>
      <c r="R8" s="110"/>
      <c r="S8" s="110"/>
      <c r="T8" s="110"/>
      <c r="U8" s="110"/>
      <c r="V8" s="110"/>
    </row>
    <row r="9" spans="1:22" x14ac:dyDescent="0.25">
      <c r="A9" s="74">
        <v>241493</v>
      </c>
      <c r="B9" s="34" t="s">
        <v>128</v>
      </c>
      <c r="C9" s="76">
        <v>44926</v>
      </c>
      <c r="E9" s="110">
        <v>31784.05</v>
      </c>
      <c r="F9" s="110">
        <v>20000</v>
      </c>
      <c r="G9" s="110">
        <v>51784.05</v>
      </c>
      <c r="H9" s="110"/>
      <c r="I9" s="110">
        <v>0</v>
      </c>
      <c r="J9" s="110">
        <v>0</v>
      </c>
      <c r="K9" s="110">
        <v>0</v>
      </c>
      <c r="L9" s="110">
        <v>0</v>
      </c>
      <c r="M9" s="110">
        <v>0</v>
      </c>
      <c r="N9" s="110">
        <v>0</v>
      </c>
      <c r="O9" s="110">
        <v>0</v>
      </c>
      <c r="P9" s="110">
        <v>0</v>
      </c>
      <c r="Q9" s="110">
        <v>0</v>
      </c>
      <c r="R9" s="110">
        <v>0</v>
      </c>
      <c r="S9" s="110">
        <v>0</v>
      </c>
      <c r="T9" s="110">
        <v>51784.05</v>
      </c>
      <c r="U9" s="110"/>
      <c r="V9" s="110">
        <f>SUM(I9:T9)</f>
        <v>51784.05</v>
      </c>
    </row>
    <row r="10" spans="1:22" x14ac:dyDescent="0.25">
      <c r="A10" s="74">
        <v>241354</v>
      </c>
      <c r="B10" s="55" t="s">
        <v>129</v>
      </c>
      <c r="C10" s="77">
        <v>44712</v>
      </c>
      <c r="E10" s="95">
        <v>905713.83</v>
      </c>
      <c r="F10" s="95">
        <v>469000</v>
      </c>
      <c r="G10" s="95">
        <v>1374713.83</v>
      </c>
      <c r="I10" s="97">
        <v>0</v>
      </c>
      <c r="J10" s="95">
        <v>0</v>
      </c>
      <c r="K10" s="95">
        <v>0</v>
      </c>
      <c r="L10" s="95">
        <v>0</v>
      </c>
      <c r="M10" s="96">
        <v>1374713.83</v>
      </c>
      <c r="N10" s="95">
        <v>0</v>
      </c>
      <c r="O10" s="95">
        <v>0</v>
      </c>
      <c r="P10" s="95">
        <v>0</v>
      </c>
      <c r="Q10" s="95">
        <v>0</v>
      </c>
      <c r="R10" s="95">
        <v>0</v>
      </c>
      <c r="S10" s="95">
        <v>0</v>
      </c>
      <c r="T10" s="95">
        <v>0</v>
      </c>
      <c r="V10" s="95">
        <f t="shared" ref="V10:V14" si="0">SUM(I10:T10)</f>
        <v>1374713.83</v>
      </c>
    </row>
    <row r="11" spans="1:22" x14ac:dyDescent="0.25">
      <c r="A11" s="74">
        <v>241436</v>
      </c>
      <c r="B11" s="55" t="s">
        <v>130</v>
      </c>
      <c r="C11" s="76">
        <v>44926</v>
      </c>
      <c r="E11" s="95">
        <v>30000</v>
      </c>
      <c r="F11" s="95">
        <v>448000</v>
      </c>
      <c r="G11" s="95">
        <v>478000</v>
      </c>
      <c r="I11" s="97">
        <v>0</v>
      </c>
      <c r="J11" s="95">
        <v>0</v>
      </c>
      <c r="K11" s="95">
        <v>0</v>
      </c>
      <c r="L11" s="95">
        <v>0</v>
      </c>
      <c r="M11" s="95">
        <v>0</v>
      </c>
      <c r="N11" s="96">
        <v>0</v>
      </c>
      <c r="O11" s="95">
        <v>0</v>
      </c>
      <c r="P11" s="95">
        <v>0</v>
      </c>
      <c r="Q11" s="95">
        <v>0</v>
      </c>
      <c r="R11" s="95">
        <v>0</v>
      </c>
      <c r="S11" s="95">
        <v>0</v>
      </c>
      <c r="T11" s="95">
        <v>478000</v>
      </c>
      <c r="V11" s="95">
        <f t="shared" si="0"/>
        <v>478000</v>
      </c>
    </row>
    <row r="12" spans="1:22" x14ac:dyDescent="0.25">
      <c r="A12" s="74">
        <v>241437</v>
      </c>
      <c r="B12" s="55" t="s">
        <v>64</v>
      </c>
      <c r="C12" s="76">
        <v>44742</v>
      </c>
      <c r="E12" s="95">
        <v>587219.55000000005</v>
      </c>
      <c r="F12" s="95">
        <v>448000</v>
      </c>
      <c r="G12" s="95">
        <v>1035219.55</v>
      </c>
      <c r="I12" s="97">
        <v>0</v>
      </c>
      <c r="J12" s="95">
        <v>0</v>
      </c>
      <c r="K12" s="95">
        <v>0</v>
      </c>
      <c r="L12" s="95">
        <v>0</v>
      </c>
      <c r="M12" s="95">
        <v>0</v>
      </c>
      <c r="N12" s="96">
        <v>1035219.55</v>
      </c>
      <c r="O12" s="95">
        <v>0</v>
      </c>
      <c r="P12" s="95">
        <v>0</v>
      </c>
      <c r="Q12" s="95">
        <v>0</v>
      </c>
      <c r="R12" s="95">
        <v>0</v>
      </c>
      <c r="S12" s="95">
        <v>0</v>
      </c>
      <c r="T12" s="95">
        <v>0</v>
      </c>
      <c r="V12" s="95">
        <f t="shared" si="0"/>
        <v>1035219.55</v>
      </c>
    </row>
    <row r="13" spans="1:22" x14ac:dyDescent="0.25">
      <c r="A13" s="74">
        <v>241456</v>
      </c>
      <c r="B13" s="55" t="s">
        <v>139</v>
      </c>
      <c r="C13" s="76">
        <v>44711</v>
      </c>
      <c r="E13" s="95">
        <v>407224.25999999995</v>
      </c>
      <c r="F13" s="95">
        <v>505000</v>
      </c>
      <c r="G13" s="95">
        <v>912224.26</v>
      </c>
      <c r="I13" s="97">
        <v>0</v>
      </c>
      <c r="J13" s="95">
        <v>0</v>
      </c>
      <c r="K13" s="95">
        <v>0</v>
      </c>
      <c r="L13" s="95">
        <v>0</v>
      </c>
      <c r="M13" s="95">
        <v>912224.26</v>
      </c>
      <c r="N13" s="96">
        <v>0</v>
      </c>
      <c r="O13" s="95">
        <v>0</v>
      </c>
      <c r="P13" s="95">
        <v>0</v>
      </c>
      <c r="Q13" s="95">
        <v>0</v>
      </c>
      <c r="R13" s="95">
        <v>0</v>
      </c>
      <c r="S13" s="95">
        <v>0</v>
      </c>
      <c r="T13" s="95">
        <v>0</v>
      </c>
      <c r="V13" s="95">
        <f t="shared" si="0"/>
        <v>912224.26</v>
      </c>
    </row>
    <row r="14" spans="1:22" x14ac:dyDescent="0.25">
      <c r="A14" s="74">
        <v>241564</v>
      </c>
      <c r="B14" s="55" t="s">
        <v>146</v>
      </c>
      <c r="C14" s="76">
        <v>44926</v>
      </c>
      <c r="E14" s="95">
        <v>0</v>
      </c>
      <c r="F14" s="95">
        <v>600000</v>
      </c>
      <c r="G14" s="95">
        <v>600000</v>
      </c>
      <c r="I14" s="97">
        <v>0</v>
      </c>
      <c r="J14" s="95">
        <v>0</v>
      </c>
      <c r="K14" s="95">
        <v>0</v>
      </c>
      <c r="L14" s="95">
        <v>0</v>
      </c>
      <c r="M14" s="95">
        <v>0</v>
      </c>
      <c r="N14" s="96">
        <v>0</v>
      </c>
      <c r="O14" s="95">
        <v>0</v>
      </c>
      <c r="P14" s="95">
        <v>0</v>
      </c>
      <c r="Q14" s="95">
        <v>0</v>
      </c>
      <c r="R14" s="95">
        <v>0</v>
      </c>
      <c r="S14" s="95">
        <v>0</v>
      </c>
      <c r="T14" s="95">
        <v>600000</v>
      </c>
      <c r="V14" s="95">
        <f t="shared" si="0"/>
        <v>600000</v>
      </c>
    </row>
    <row r="15" spans="1:22" x14ac:dyDescent="0.25">
      <c r="A15" s="98"/>
      <c r="B15" s="99"/>
      <c r="C15" s="99"/>
      <c r="E15" s="95"/>
      <c r="F15" s="95"/>
      <c r="G15" s="95"/>
      <c r="I15" s="95"/>
      <c r="J15" s="95"/>
      <c r="K15" s="95"/>
      <c r="L15" s="95"/>
      <c r="M15" s="95"/>
      <c r="N15" s="95"/>
      <c r="O15" s="95"/>
      <c r="P15" s="95"/>
      <c r="Q15" s="95"/>
      <c r="R15" s="95"/>
      <c r="S15" s="95"/>
      <c r="T15" s="95"/>
      <c r="V15" s="95"/>
    </row>
    <row r="16" spans="1:22" ht="16.2" thickBot="1" x14ac:dyDescent="0.35">
      <c r="A16" s="106" t="str">
        <f>"Total Transmission Forecasted "&amp;$C$4&amp;" In Service"</f>
        <v>Total Transmission Forecasted 2022 In Service</v>
      </c>
      <c r="B16" s="105"/>
      <c r="C16" s="40"/>
      <c r="E16" s="41">
        <f t="shared" ref="E16:F16" si="1">SUM(E8:E15)</f>
        <v>1961941.6900000002</v>
      </c>
      <c r="F16" s="41">
        <f t="shared" si="1"/>
        <v>2490000</v>
      </c>
      <c r="G16" s="41">
        <f>SUM(G8:G15)</f>
        <v>4451941.6900000004</v>
      </c>
      <c r="I16" s="41">
        <f t="shared" ref="I16:T16" si="2">SUM(I8:I15)</f>
        <v>0</v>
      </c>
      <c r="J16" s="41">
        <f t="shared" si="2"/>
        <v>0</v>
      </c>
      <c r="K16" s="41">
        <f t="shared" si="2"/>
        <v>0</v>
      </c>
      <c r="L16" s="41">
        <f t="shared" si="2"/>
        <v>0</v>
      </c>
      <c r="M16" s="41">
        <f t="shared" si="2"/>
        <v>2286938.09</v>
      </c>
      <c r="N16" s="41">
        <f t="shared" si="2"/>
        <v>1035219.55</v>
      </c>
      <c r="O16" s="41">
        <f t="shared" si="2"/>
        <v>0</v>
      </c>
      <c r="P16" s="41">
        <f t="shared" si="2"/>
        <v>0</v>
      </c>
      <c r="Q16" s="41">
        <f t="shared" si="2"/>
        <v>0</v>
      </c>
      <c r="R16" s="41">
        <f t="shared" si="2"/>
        <v>0</v>
      </c>
      <c r="S16" s="41">
        <f t="shared" si="2"/>
        <v>0</v>
      </c>
      <c r="T16" s="41">
        <f t="shared" si="2"/>
        <v>1129784.05</v>
      </c>
      <c r="V16" s="41">
        <f>SUM(V8:V15)</f>
        <v>4451941.6900000004</v>
      </c>
    </row>
    <row r="17" spans="1:21" ht="16.2" thickTop="1" x14ac:dyDescent="0.3">
      <c r="A17" s="100"/>
      <c r="B17" s="101"/>
      <c r="C17" s="101"/>
      <c r="D17" s="101"/>
      <c r="E17" s="101"/>
      <c r="F17" s="101"/>
      <c r="G17" s="101"/>
      <c r="H17" s="101"/>
      <c r="I17" s="102"/>
      <c r="J17" s="102"/>
      <c r="K17" s="102"/>
      <c r="L17" s="102"/>
      <c r="M17" s="102"/>
      <c r="N17" s="102"/>
      <c r="O17" s="102"/>
      <c r="P17" s="102"/>
      <c r="Q17" s="102"/>
      <c r="R17" s="102"/>
      <c r="S17" s="102"/>
      <c r="T17" s="102"/>
      <c r="U17" s="102"/>
    </row>
    <row r="19" spans="1:21" ht="15.6" x14ac:dyDescent="0.3">
      <c r="A19" s="100"/>
    </row>
    <row r="29" spans="1:21" x14ac:dyDescent="0.25">
      <c r="A29" s="103"/>
      <c r="B29" s="104"/>
      <c r="C29" s="104"/>
      <c r="D29" s="104"/>
      <c r="E29" s="104"/>
      <c r="F29" s="104"/>
      <c r="G29" s="104"/>
      <c r="H29" s="104"/>
      <c r="I29" s="104"/>
      <c r="J29" s="104"/>
      <c r="K29" s="104"/>
      <c r="L29" s="104"/>
      <c r="M29" s="104"/>
      <c r="N29" s="104"/>
      <c r="O29" s="104"/>
      <c r="P29" s="104"/>
      <c r="Q29" s="104"/>
      <c r="R29" s="104"/>
      <c r="S29" s="104"/>
      <c r="T29" s="104"/>
      <c r="U29" s="104"/>
    </row>
    <row r="30" spans="1:21" x14ac:dyDescent="0.25">
      <c r="A30" s="103"/>
      <c r="B30" s="104"/>
      <c r="C30" s="104"/>
      <c r="D30" s="104"/>
      <c r="E30" s="104"/>
      <c r="F30" s="104"/>
      <c r="G30" s="104"/>
      <c r="H30" s="104"/>
      <c r="I30" s="104"/>
      <c r="J30" s="104"/>
      <c r="K30" s="104"/>
      <c r="L30" s="104"/>
      <c r="M30" s="104"/>
      <c r="N30" s="104"/>
      <c r="O30" s="104"/>
      <c r="P30" s="104"/>
      <c r="Q30" s="104"/>
      <c r="R30" s="104"/>
      <c r="S30" s="104"/>
      <c r="T30" s="104"/>
      <c r="U30" s="104"/>
    </row>
    <row r="31" spans="1:21" x14ac:dyDescent="0.25">
      <c r="A31" s="103"/>
      <c r="B31" s="104"/>
      <c r="C31" s="104"/>
      <c r="D31" s="104"/>
      <c r="E31" s="104"/>
      <c r="F31" s="104"/>
      <c r="G31" s="104"/>
      <c r="H31" s="104"/>
      <c r="I31" s="104"/>
      <c r="J31" s="104"/>
      <c r="K31" s="104"/>
      <c r="L31" s="104"/>
      <c r="M31" s="104"/>
      <c r="N31" s="104"/>
      <c r="O31" s="104"/>
      <c r="P31" s="104"/>
      <c r="Q31" s="104"/>
      <c r="R31" s="104"/>
      <c r="S31" s="104"/>
      <c r="T31" s="104"/>
      <c r="U31" s="104"/>
    </row>
    <row r="32" spans="1:21" x14ac:dyDescent="0.25">
      <c r="A32" s="103"/>
      <c r="B32" s="104"/>
      <c r="C32" s="104"/>
      <c r="D32" s="104"/>
      <c r="E32" s="104"/>
      <c r="F32" s="104"/>
      <c r="G32" s="104"/>
      <c r="H32" s="104"/>
      <c r="I32" s="104"/>
      <c r="J32" s="104"/>
      <c r="K32" s="104"/>
      <c r="L32" s="104"/>
      <c r="M32" s="104"/>
      <c r="N32" s="104"/>
      <c r="O32" s="104"/>
      <c r="P32" s="104"/>
      <c r="Q32" s="104"/>
      <c r="R32" s="104"/>
      <c r="S32" s="104"/>
      <c r="T32" s="104"/>
      <c r="U32" s="104"/>
    </row>
    <row r="33" spans="1:21" x14ac:dyDescent="0.25">
      <c r="A33" s="103"/>
      <c r="B33" s="104"/>
      <c r="C33" s="104"/>
      <c r="D33" s="104"/>
      <c r="E33" s="104"/>
      <c r="F33" s="104"/>
      <c r="G33" s="104"/>
      <c r="H33" s="104"/>
      <c r="I33" s="104"/>
      <c r="J33" s="104"/>
      <c r="K33" s="104"/>
      <c r="L33" s="104"/>
      <c r="M33" s="104"/>
      <c r="N33" s="104"/>
      <c r="O33" s="104"/>
      <c r="P33" s="104"/>
      <c r="Q33" s="104"/>
      <c r="R33" s="104"/>
      <c r="S33" s="104"/>
      <c r="T33" s="104"/>
      <c r="U33" s="104"/>
    </row>
    <row r="34" spans="1:21" x14ac:dyDescent="0.25">
      <c r="A34" s="103"/>
      <c r="B34" s="104"/>
      <c r="C34" s="104"/>
      <c r="D34" s="104"/>
      <c r="E34" s="104"/>
      <c r="F34" s="104"/>
      <c r="G34" s="104"/>
      <c r="H34" s="104"/>
      <c r="I34" s="104"/>
      <c r="J34" s="104"/>
      <c r="K34" s="104"/>
      <c r="L34" s="104"/>
      <c r="M34" s="104"/>
      <c r="N34" s="104"/>
      <c r="O34" s="104"/>
      <c r="P34" s="104"/>
      <c r="Q34" s="104"/>
      <c r="R34" s="104"/>
      <c r="S34" s="104"/>
      <c r="T34" s="104"/>
      <c r="U34" s="104"/>
    </row>
    <row r="35" spans="1:21" x14ac:dyDescent="0.25">
      <c r="A35" s="103"/>
      <c r="B35" s="104"/>
      <c r="C35" s="104"/>
      <c r="D35" s="104"/>
      <c r="E35" s="104"/>
      <c r="F35" s="104"/>
      <c r="G35" s="104"/>
      <c r="H35" s="104"/>
      <c r="I35" s="104"/>
      <c r="J35" s="104"/>
      <c r="K35" s="104"/>
      <c r="L35" s="104"/>
      <c r="M35" s="104"/>
      <c r="N35" s="104"/>
      <c r="O35" s="104"/>
      <c r="P35" s="104"/>
      <c r="Q35" s="104"/>
      <c r="R35" s="104"/>
      <c r="S35" s="104"/>
      <c r="T35" s="104"/>
      <c r="U35" s="104"/>
    </row>
    <row r="36" spans="1:21" x14ac:dyDescent="0.25">
      <c r="A36" s="103"/>
      <c r="B36" s="104"/>
      <c r="C36" s="104"/>
      <c r="D36" s="104"/>
      <c r="E36" s="104"/>
      <c r="F36" s="104"/>
      <c r="G36" s="104"/>
      <c r="H36" s="104"/>
      <c r="I36" s="104"/>
      <c r="J36" s="104"/>
      <c r="K36" s="104"/>
      <c r="L36" s="104"/>
      <c r="M36" s="104"/>
      <c r="N36" s="104"/>
      <c r="O36" s="104"/>
      <c r="P36" s="104"/>
      <c r="Q36" s="104"/>
      <c r="R36" s="104"/>
      <c r="S36" s="104"/>
      <c r="T36" s="104"/>
      <c r="U36" s="104"/>
    </row>
    <row r="37" spans="1:21" x14ac:dyDescent="0.25">
      <c r="A37" s="103"/>
      <c r="B37" s="104"/>
      <c r="C37" s="104"/>
      <c r="D37" s="104"/>
      <c r="E37" s="104"/>
      <c r="F37" s="104"/>
      <c r="G37" s="104"/>
      <c r="H37" s="104"/>
      <c r="I37" s="104"/>
      <c r="J37" s="104"/>
      <c r="K37" s="104"/>
      <c r="L37" s="104"/>
      <c r="M37" s="104"/>
      <c r="N37" s="104"/>
      <c r="O37" s="104"/>
      <c r="P37" s="104"/>
      <c r="Q37" s="104"/>
      <c r="R37" s="104"/>
      <c r="S37" s="104"/>
      <c r="T37" s="104"/>
      <c r="U37" s="104"/>
    </row>
    <row r="38" spans="1:21" x14ac:dyDescent="0.25">
      <c r="A38" s="103"/>
      <c r="B38" s="104"/>
      <c r="C38" s="104"/>
      <c r="D38" s="104"/>
      <c r="E38" s="104"/>
      <c r="F38" s="104"/>
      <c r="G38" s="104"/>
      <c r="H38" s="104"/>
      <c r="I38" s="104"/>
      <c r="J38" s="104"/>
      <c r="K38" s="104"/>
      <c r="L38" s="104"/>
      <c r="M38" s="104"/>
      <c r="N38" s="104"/>
      <c r="O38" s="104"/>
      <c r="P38" s="104"/>
      <c r="Q38" s="104"/>
      <c r="R38" s="104"/>
      <c r="S38" s="104"/>
      <c r="T38" s="104"/>
      <c r="U38" s="104"/>
    </row>
    <row r="39" spans="1:21" x14ac:dyDescent="0.25">
      <c r="A39" s="103"/>
      <c r="B39" s="104"/>
      <c r="C39" s="104"/>
      <c r="D39" s="104"/>
      <c r="E39" s="104"/>
      <c r="F39" s="104"/>
      <c r="G39" s="104"/>
      <c r="H39" s="104"/>
      <c r="I39" s="104"/>
      <c r="J39" s="104"/>
      <c r="K39" s="104"/>
      <c r="L39" s="104"/>
      <c r="M39" s="104"/>
      <c r="N39" s="104"/>
      <c r="O39" s="104"/>
      <c r="P39" s="104"/>
      <c r="Q39" s="104"/>
      <c r="R39" s="104"/>
      <c r="S39" s="104"/>
      <c r="T39" s="104"/>
      <c r="U39" s="104"/>
    </row>
    <row r="40" spans="1:21" x14ac:dyDescent="0.25">
      <c r="A40" s="103"/>
      <c r="B40" s="104"/>
      <c r="C40" s="104"/>
      <c r="D40" s="104"/>
      <c r="E40" s="104"/>
      <c r="F40" s="104"/>
      <c r="G40" s="104"/>
      <c r="H40" s="104"/>
      <c r="I40" s="104"/>
      <c r="J40" s="104"/>
      <c r="K40" s="104"/>
      <c r="L40" s="104"/>
      <c r="M40" s="104"/>
      <c r="N40" s="104"/>
      <c r="O40" s="104"/>
      <c r="P40" s="104"/>
      <c r="Q40" s="104"/>
      <c r="R40" s="104"/>
      <c r="S40" s="104"/>
      <c r="T40" s="104"/>
      <c r="U40" s="104"/>
    </row>
    <row r="41" spans="1:21" x14ac:dyDescent="0.25">
      <c r="A41" s="103"/>
      <c r="B41" s="104"/>
      <c r="C41" s="104"/>
      <c r="D41" s="104"/>
      <c r="E41" s="104"/>
      <c r="F41" s="104"/>
      <c r="G41" s="104"/>
      <c r="H41" s="104"/>
      <c r="I41" s="104"/>
      <c r="J41" s="104"/>
      <c r="K41" s="104"/>
      <c r="L41" s="104"/>
      <c r="M41" s="104"/>
      <c r="N41" s="104"/>
      <c r="O41" s="104"/>
      <c r="P41" s="104"/>
      <c r="Q41" s="104"/>
      <c r="R41" s="104"/>
      <c r="S41" s="104"/>
      <c r="T41" s="104"/>
      <c r="U41" s="104"/>
    </row>
    <row r="42" spans="1:21" x14ac:dyDescent="0.25">
      <c r="A42" s="103"/>
      <c r="B42" s="104"/>
      <c r="C42" s="104"/>
      <c r="D42" s="104"/>
      <c r="E42" s="104"/>
      <c r="F42" s="104"/>
      <c r="G42" s="104"/>
      <c r="H42" s="104"/>
      <c r="I42" s="104"/>
      <c r="J42" s="104"/>
      <c r="K42" s="104"/>
      <c r="L42" s="104"/>
      <c r="M42" s="104"/>
      <c r="N42" s="104"/>
      <c r="O42" s="104"/>
      <c r="P42" s="104"/>
      <c r="Q42" s="104"/>
      <c r="R42" s="104"/>
      <c r="S42" s="104"/>
      <c r="T42" s="104"/>
      <c r="U42" s="104"/>
    </row>
    <row r="43" spans="1:21" x14ac:dyDescent="0.25">
      <c r="A43" s="103"/>
      <c r="B43" s="104"/>
      <c r="C43" s="104"/>
      <c r="D43" s="104"/>
      <c r="E43" s="104"/>
      <c r="F43" s="104"/>
      <c r="G43" s="104"/>
      <c r="H43" s="104"/>
      <c r="I43" s="104"/>
      <c r="J43" s="104"/>
      <c r="K43" s="104"/>
      <c r="L43" s="104"/>
      <c r="M43" s="104"/>
      <c r="N43" s="104"/>
      <c r="O43" s="104"/>
      <c r="P43" s="104"/>
      <c r="Q43" s="104"/>
      <c r="R43" s="104"/>
      <c r="S43" s="104"/>
      <c r="T43" s="104"/>
      <c r="U43" s="104"/>
    </row>
    <row r="44" spans="1:21" x14ac:dyDescent="0.25">
      <c r="A44" s="103"/>
      <c r="B44" s="104"/>
      <c r="C44" s="104"/>
      <c r="D44" s="104"/>
      <c r="E44" s="104"/>
      <c r="F44" s="104"/>
      <c r="G44" s="104"/>
      <c r="H44" s="104"/>
      <c r="I44" s="104"/>
      <c r="J44" s="104"/>
      <c r="K44" s="104"/>
      <c r="L44" s="104"/>
      <c r="M44" s="104"/>
      <c r="N44" s="104"/>
      <c r="O44" s="104"/>
      <c r="P44" s="104"/>
      <c r="Q44" s="104"/>
      <c r="R44" s="104"/>
      <c r="S44" s="104"/>
      <c r="T44" s="104"/>
      <c r="U44" s="104"/>
    </row>
    <row r="45" spans="1:21" x14ac:dyDescent="0.25">
      <c r="A45" s="103"/>
      <c r="B45" s="104"/>
      <c r="C45" s="104"/>
      <c r="D45" s="104"/>
      <c r="E45" s="104"/>
      <c r="F45" s="104"/>
      <c r="G45" s="104"/>
      <c r="H45" s="104"/>
      <c r="I45" s="104"/>
      <c r="J45" s="104"/>
      <c r="K45" s="104"/>
      <c r="L45" s="104"/>
      <c r="M45" s="104"/>
      <c r="N45" s="104"/>
      <c r="O45" s="104"/>
      <c r="P45" s="104"/>
      <c r="Q45" s="104"/>
      <c r="R45" s="104"/>
      <c r="S45" s="104"/>
      <c r="T45" s="104"/>
      <c r="U45" s="104"/>
    </row>
    <row r="46" spans="1:21" x14ac:dyDescent="0.25">
      <c r="A46" s="103"/>
      <c r="B46" s="104"/>
      <c r="C46" s="104"/>
      <c r="D46" s="104"/>
      <c r="E46" s="104"/>
      <c r="F46" s="104"/>
      <c r="G46" s="104"/>
      <c r="H46" s="104"/>
      <c r="I46" s="104"/>
      <c r="J46" s="104"/>
      <c r="K46" s="104"/>
      <c r="L46" s="104"/>
      <c r="M46" s="104"/>
      <c r="N46" s="104"/>
      <c r="O46" s="104"/>
      <c r="P46" s="104"/>
      <c r="Q46" s="104"/>
      <c r="R46" s="104"/>
      <c r="S46" s="104"/>
      <c r="T46" s="104"/>
      <c r="U46" s="104"/>
    </row>
    <row r="47" spans="1:21" x14ac:dyDescent="0.25">
      <c r="A47" s="103"/>
      <c r="B47" s="104"/>
      <c r="C47" s="104"/>
      <c r="D47" s="104"/>
      <c r="E47" s="104"/>
      <c r="F47" s="104"/>
      <c r="G47" s="104"/>
      <c r="H47" s="104"/>
      <c r="I47" s="104"/>
      <c r="J47" s="104"/>
      <c r="K47" s="104"/>
      <c r="L47" s="104"/>
      <c r="M47" s="104"/>
      <c r="N47" s="104"/>
      <c r="O47" s="104"/>
      <c r="P47" s="104"/>
      <c r="Q47" s="104"/>
      <c r="R47" s="104"/>
      <c r="S47" s="104"/>
      <c r="T47" s="104"/>
      <c r="U47" s="104"/>
    </row>
    <row r="48" spans="1:21" x14ac:dyDescent="0.25">
      <c r="A48" s="103"/>
      <c r="B48" s="104"/>
      <c r="C48" s="104"/>
      <c r="D48" s="104"/>
      <c r="E48" s="104"/>
      <c r="F48" s="104"/>
      <c r="G48" s="104"/>
      <c r="H48" s="104"/>
      <c r="I48" s="104"/>
      <c r="J48" s="104"/>
      <c r="K48" s="104"/>
      <c r="L48" s="104"/>
      <c r="M48" s="104"/>
      <c r="N48" s="104"/>
      <c r="O48" s="104"/>
      <c r="P48" s="104"/>
      <c r="Q48" s="104"/>
      <c r="R48" s="104"/>
      <c r="S48" s="104"/>
      <c r="T48" s="104"/>
      <c r="U48" s="104"/>
    </row>
    <row r="49" spans="1:21" x14ac:dyDescent="0.25">
      <c r="A49" s="103"/>
      <c r="B49" s="104"/>
      <c r="C49" s="104"/>
      <c r="D49" s="104"/>
      <c r="E49" s="104"/>
      <c r="F49" s="104"/>
      <c r="G49" s="104"/>
      <c r="H49" s="104"/>
      <c r="I49" s="104"/>
      <c r="J49" s="104"/>
      <c r="K49" s="104"/>
      <c r="L49" s="104"/>
      <c r="M49" s="104"/>
      <c r="N49" s="104"/>
      <c r="O49" s="104"/>
      <c r="P49" s="104"/>
      <c r="Q49" s="104"/>
      <c r="R49" s="104"/>
      <c r="S49" s="104"/>
      <c r="T49" s="104"/>
      <c r="U49" s="104"/>
    </row>
    <row r="50" spans="1:21" x14ac:dyDescent="0.25">
      <c r="A50" s="103"/>
      <c r="B50" s="104"/>
      <c r="C50" s="104"/>
      <c r="D50" s="104"/>
      <c r="E50" s="104"/>
      <c r="F50" s="104"/>
      <c r="G50" s="104"/>
      <c r="H50" s="104"/>
      <c r="I50" s="104"/>
      <c r="J50" s="104"/>
      <c r="K50" s="104"/>
      <c r="L50" s="104"/>
      <c r="M50" s="104"/>
      <c r="N50" s="104"/>
      <c r="O50" s="104"/>
      <c r="P50" s="104"/>
      <c r="Q50" s="104"/>
      <c r="R50" s="104"/>
      <c r="S50" s="104"/>
      <c r="T50" s="104"/>
      <c r="U50" s="104"/>
    </row>
    <row r="51" spans="1:21" x14ac:dyDescent="0.25">
      <c r="A51" s="103"/>
      <c r="B51" s="104"/>
      <c r="C51" s="104"/>
      <c r="D51" s="104"/>
      <c r="E51" s="104"/>
      <c r="F51" s="104"/>
      <c r="G51" s="104"/>
      <c r="H51" s="104"/>
      <c r="I51" s="104"/>
      <c r="J51" s="104"/>
      <c r="K51" s="104"/>
      <c r="L51" s="104"/>
      <c r="M51" s="104"/>
      <c r="N51" s="104"/>
      <c r="O51" s="104"/>
      <c r="P51" s="104"/>
      <c r="Q51" s="104"/>
      <c r="R51" s="104"/>
      <c r="S51" s="104"/>
      <c r="T51" s="104"/>
      <c r="U51" s="104"/>
    </row>
    <row r="52" spans="1:21" x14ac:dyDescent="0.25">
      <c r="A52" s="103"/>
      <c r="B52" s="104"/>
      <c r="C52" s="104"/>
      <c r="D52" s="104"/>
      <c r="E52" s="104"/>
      <c r="F52" s="104"/>
      <c r="G52" s="104"/>
      <c r="H52" s="104"/>
      <c r="I52" s="104"/>
      <c r="J52" s="104"/>
      <c r="K52" s="104"/>
      <c r="L52" s="104"/>
      <c r="M52" s="104"/>
      <c r="N52" s="104"/>
      <c r="O52" s="104"/>
      <c r="P52" s="104"/>
      <c r="Q52" s="104"/>
      <c r="R52" s="104"/>
      <c r="S52" s="104"/>
      <c r="T52" s="104"/>
      <c r="U52" s="104"/>
    </row>
    <row r="53" spans="1:21" x14ac:dyDescent="0.25">
      <c r="A53" s="103"/>
      <c r="B53" s="104"/>
      <c r="C53" s="104"/>
      <c r="D53" s="104"/>
      <c r="E53" s="104"/>
      <c r="F53" s="104"/>
      <c r="G53" s="104"/>
      <c r="H53" s="104"/>
      <c r="I53" s="104"/>
      <c r="J53" s="104"/>
      <c r="K53" s="104"/>
      <c r="L53" s="104"/>
      <c r="M53" s="104"/>
      <c r="N53" s="104"/>
      <c r="O53" s="104"/>
      <c r="P53" s="104"/>
      <c r="Q53" s="104"/>
      <c r="R53" s="104"/>
      <c r="S53" s="104"/>
      <c r="T53" s="104"/>
      <c r="U53" s="104"/>
    </row>
    <row r="54" spans="1:21" x14ac:dyDescent="0.25">
      <c r="A54" s="103"/>
      <c r="B54" s="104"/>
      <c r="C54" s="104"/>
      <c r="D54" s="104"/>
      <c r="E54" s="104"/>
      <c r="F54" s="104"/>
      <c r="G54" s="104"/>
      <c r="H54" s="104"/>
      <c r="I54" s="104"/>
      <c r="J54" s="104"/>
      <c r="K54" s="104"/>
      <c r="L54" s="104"/>
      <c r="M54" s="104"/>
      <c r="N54" s="104"/>
      <c r="O54" s="104"/>
      <c r="P54" s="104"/>
      <c r="Q54" s="104"/>
      <c r="R54" s="104"/>
      <c r="S54" s="104"/>
      <c r="T54" s="104"/>
      <c r="U54" s="104"/>
    </row>
  </sheetData>
  <mergeCells count="3">
    <mergeCell ref="B1:T1"/>
    <mergeCell ref="B3:T3"/>
    <mergeCell ref="B2:T2"/>
  </mergeCells>
  <pageMargins left="0.42" right="0.38" top="1" bottom="1" header="0.5" footer="0.5"/>
  <pageSetup scale="85" orientation="portrait" horizontalDpi="1200" verticalDpi="1200" r:id="rId1"/>
  <headerFooter alignWithMargins="0">
    <oddHeader>&amp;C&amp;"Arial,Bold"&amp;12ODEC 2022 Transmission Formula Rate Update
Supporting Workpapers &amp;R&amp;12Page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9"/>
  <sheetViews>
    <sheetView tabSelected="1" view="pageLayout" zoomScaleNormal="90" workbookViewId="0">
      <selection activeCell="E7" sqref="E7"/>
    </sheetView>
  </sheetViews>
  <sheetFormatPr defaultColWidth="9.109375" defaultRowHeight="14.4" x14ac:dyDescent="0.3"/>
  <cols>
    <col min="1" max="1" width="68.5546875" style="45" customWidth="1"/>
    <col min="2" max="3" width="12.33203125" style="45" customWidth="1"/>
    <col min="4" max="4" width="28.44140625" style="45" customWidth="1"/>
    <col min="5" max="5" width="13" style="45" bestFit="1" customWidth="1"/>
    <col min="6" max="6" width="12.33203125" style="45" bestFit="1" customWidth="1"/>
    <col min="7" max="7" width="13" style="45" bestFit="1" customWidth="1"/>
    <col min="8" max="8" width="15.5546875" style="45" bestFit="1" customWidth="1"/>
    <col min="9" max="12" width="14.33203125" style="45" bestFit="1" customWidth="1"/>
    <col min="13" max="13" width="14.33203125" style="45" customWidth="1"/>
    <col min="14" max="14" width="14.33203125" style="45" bestFit="1" customWidth="1"/>
    <col min="15" max="15" width="16.5546875" style="45" customWidth="1"/>
    <col min="16" max="16" width="14.33203125" style="45" bestFit="1" customWidth="1"/>
    <col min="17" max="17" width="2.88671875" style="45" customWidth="1"/>
    <col min="18" max="18" width="17.88671875" style="45" customWidth="1"/>
    <col min="19" max="19" width="4.5546875" style="45" customWidth="1"/>
    <col min="20" max="20" width="17.109375" style="45" customWidth="1"/>
    <col min="21" max="21" width="15.44140625" style="45" customWidth="1"/>
    <col min="22" max="16384" width="9.109375" style="45"/>
  </cols>
  <sheetData>
    <row r="1" spans="1:21" s="46" customFormat="1" ht="15.6" x14ac:dyDescent="0.3">
      <c r="A1" s="44" t="s">
        <v>0</v>
      </c>
      <c r="B1" s="44"/>
      <c r="C1" s="44"/>
      <c r="D1" s="44"/>
    </row>
    <row r="2" spans="1:21" s="46" customFormat="1" ht="15.6" x14ac:dyDescent="0.3">
      <c r="A2" s="44" t="s">
        <v>58</v>
      </c>
      <c r="B2" s="44"/>
      <c r="C2" s="44"/>
      <c r="D2" s="44"/>
    </row>
    <row r="3" spans="1:21" s="46" customFormat="1" ht="15.6" x14ac:dyDescent="0.3">
      <c r="A3" s="44" t="s">
        <v>86</v>
      </c>
      <c r="B3" s="44">
        <f>'Workpaper pg 3_In Serv Fcst_ISL'!C4-1</f>
        <v>2021</v>
      </c>
      <c r="C3" s="44"/>
      <c r="D3" s="44"/>
    </row>
    <row r="4" spans="1:21" s="140" customFormat="1" ht="13.2" x14ac:dyDescent="0.25">
      <c r="A4" s="140" t="s">
        <v>181</v>
      </c>
    </row>
    <row r="5" spans="1:21" s="140" customFormat="1" ht="13.2" x14ac:dyDescent="0.25"/>
    <row r="6" spans="1:21" s="140" customFormat="1" ht="13.2" x14ac:dyDescent="0.25">
      <c r="A6" s="140" t="s">
        <v>85</v>
      </c>
    </row>
    <row r="7" spans="1:21" s="46" customFormat="1" ht="13.8" x14ac:dyDescent="0.25"/>
    <row r="8" spans="1:21" s="46" customFormat="1" ht="15.6" x14ac:dyDescent="0.3">
      <c r="B8" s="136" t="s">
        <v>147</v>
      </c>
      <c r="C8" s="136" t="s">
        <v>148</v>
      </c>
      <c r="D8" s="136" t="s">
        <v>135</v>
      </c>
      <c r="E8" s="138" t="str">
        <f>"Jan-"&amp;RIGHT($B$3,2)</f>
        <v>Jan-21</v>
      </c>
      <c r="F8" s="138" t="str">
        <f>"Feb-"&amp;RIGHT($B$3,2)</f>
        <v>Feb-21</v>
      </c>
      <c r="G8" s="138" t="str">
        <f>"Mar-"&amp;RIGHT($B$3,2)</f>
        <v>Mar-21</v>
      </c>
      <c r="H8" s="138" t="str">
        <f>"Apr-"&amp;RIGHT($B$3,2)</f>
        <v>Apr-21</v>
      </c>
      <c r="I8" s="138" t="str">
        <f>"May-"&amp;RIGHT($B$3,2)</f>
        <v>May-21</v>
      </c>
      <c r="J8" s="138" t="str">
        <f>"Jun-"&amp;RIGHT($B$3,2)</f>
        <v>Jun-21</v>
      </c>
      <c r="K8" s="138" t="str">
        <f>"Jul-"&amp;RIGHT($B$3,2)</f>
        <v>Jul-21</v>
      </c>
      <c r="L8" s="138" t="str">
        <f>"Aug-"&amp;RIGHT($B$3,2)</f>
        <v>Aug-21</v>
      </c>
      <c r="M8" s="138" t="str">
        <f>"Sep-"&amp;RIGHT($B$3,2)</f>
        <v>Sep-21</v>
      </c>
      <c r="N8" s="138" t="str">
        <f>"Oct-"&amp;RIGHT($B$3,2)</f>
        <v>Oct-21</v>
      </c>
      <c r="O8" s="138" t="str">
        <f>"Nov-"&amp;RIGHT($B$3,2)</f>
        <v>Nov-21</v>
      </c>
      <c r="P8" s="138" t="str">
        <f>"Dec-"&amp;RIGHT($B$3,2)</f>
        <v>Dec-21</v>
      </c>
      <c r="Q8" s="138"/>
      <c r="R8" s="139" t="str">
        <f>"Total "&amp;$B$3</f>
        <v>Total 2021</v>
      </c>
      <c r="S8" s="139"/>
      <c r="T8" s="139" t="str">
        <f>$B$3&amp; " PIS Report"</f>
        <v>2021 PIS Report</v>
      </c>
      <c r="U8" s="139" t="s">
        <v>65</v>
      </c>
    </row>
    <row r="10" spans="1:21" s="46" customFormat="1" ht="13.8" x14ac:dyDescent="0.25">
      <c r="A10" s="135" t="str">
        <f>$B$3&amp;" Actual Additions"</f>
        <v>2021 Actual Additions</v>
      </c>
    </row>
    <row r="11" spans="1:21" s="46" customFormat="1" ht="13.8" x14ac:dyDescent="0.25"/>
    <row r="12" spans="1:21" s="46" customFormat="1" ht="13.8" x14ac:dyDescent="0.25">
      <c r="A12" s="111" t="s">
        <v>59</v>
      </c>
      <c r="B12" s="111"/>
      <c r="C12" s="111"/>
      <c r="D12" s="111"/>
    </row>
    <row r="13" spans="1:21" s="46" customFormat="1" ht="13.8" x14ac:dyDescent="0.25">
      <c r="A13" s="112" t="s">
        <v>149</v>
      </c>
      <c r="B13" s="113" t="s">
        <v>150</v>
      </c>
      <c r="C13" s="113"/>
      <c r="D13" s="114" t="s">
        <v>137</v>
      </c>
      <c r="E13" s="115"/>
      <c r="F13" s="115"/>
      <c r="G13" s="115"/>
      <c r="H13" s="115"/>
      <c r="I13" s="115"/>
      <c r="J13" s="116">
        <v>472091.72</v>
      </c>
      <c r="K13" s="116">
        <v>81864.83</v>
      </c>
      <c r="L13" s="115">
        <v>2080</v>
      </c>
      <c r="M13" s="115">
        <v>97.5</v>
      </c>
      <c r="N13" s="115">
        <v>455</v>
      </c>
      <c r="O13" s="115">
        <v>1075</v>
      </c>
      <c r="P13" s="115">
        <v>-500.73</v>
      </c>
      <c r="Q13" s="117"/>
      <c r="R13" s="117">
        <f>SUM(E13:P13)</f>
        <v>557163.31999999995</v>
      </c>
      <c r="S13" s="117"/>
    </row>
    <row r="14" spans="1:21" s="46" customFormat="1" ht="13.8" x14ac:dyDescent="0.25">
      <c r="A14" s="112" t="s">
        <v>151</v>
      </c>
      <c r="B14" s="113">
        <v>241461</v>
      </c>
      <c r="C14" s="113"/>
      <c r="D14" s="114" t="s">
        <v>138</v>
      </c>
      <c r="E14" s="115">
        <v>-12921.61</v>
      </c>
      <c r="F14" s="115"/>
      <c r="G14" s="115"/>
      <c r="H14" s="115"/>
      <c r="I14" s="115"/>
      <c r="J14" s="115"/>
      <c r="K14" s="115">
        <v>916.79</v>
      </c>
      <c r="L14" s="115"/>
      <c r="M14" s="115"/>
      <c r="N14" s="115"/>
      <c r="O14" s="115"/>
      <c r="P14" s="115"/>
      <c r="Q14" s="117"/>
      <c r="R14" s="117">
        <f>SUM(E14:P14)</f>
        <v>-12004.82</v>
      </c>
      <c r="S14" s="117"/>
    </row>
    <row r="15" spans="1:21" s="46" customFormat="1" ht="13.8" x14ac:dyDescent="0.25">
      <c r="D15" s="114"/>
      <c r="F15" s="118"/>
    </row>
    <row r="16" spans="1:21" s="46" customFormat="1" ht="13.8" x14ac:dyDescent="0.25">
      <c r="A16" s="119" t="s">
        <v>60</v>
      </c>
      <c r="B16" s="119"/>
      <c r="C16" s="119"/>
      <c r="D16" s="114"/>
      <c r="E16" s="120">
        <f t="shared" ref="E16:P16" si="0">SUM(E13:E15)</f>
        <v>-12921.61</v>
      </c>
      <c r="F16" s="120">
        <f t="shared" si="0"/>
        <v>0</v>
      </c>
      <c r="G16" s="120">
        <f t="shared" si="0"/>
        <v>0</v>
      </c>
      <c r="H16" s="120">
        <f t="shared" si="0"/>
        <v>0</v>
      </c>
      <c r="I16" s="120">
        <f t="shared" si="0"/>
        <v>0</v>
      </c>
      <c r="J16" s="120">
        <f t="shared" si="0"/>
        <v>472091.72</v>
      </c>
      <c r="K16" s="120">
        <f t="shared" si="0"/>
        <v>82781.62</v>
      </c>
      <c r="L16" s="120">
        <f t="shared" si="0"/>
        <v>2080</v>
      </c>
      <c r="M16" s="120">
        <f t="shared" si="0"/>
        <v>97.5</v>
      </c>
      <c r="N16" s="120">
        <f t="shared" si="0"/>
        <v>455</v>
      </c>
      <c r="O16" s="120">
        <f t="shared" si="0"/>
        <v>1075</v>
      </c>
      <c r="P16" s="120">
        <f t="shared" si="0"/>
        <v>-500.73</v>
      </c>
      <c r="Q16" s="120"/>
      <c r="R16" s="120">
        <f>SUM(R13:R15)</f>
        <v>545158.5</v>
      </c>
      <c r="S16" s="121"/>
    </row>
    <row r="17" spans="1:21" s="46" customFormat="1" ht="13.8" x14ac:dyDescent="0.25">
      <c r="A17" s="119"/>
      <c r="B17" s="119"/>
      <c r="C17" s="119"/>
      <c r="D17" s="114"/>
      <c r="E17" s="121"/>
      <c r="F17" s="121"/>
      <c r="G17" s="121"/>
      <c r="H17" s="121"/>
      <c r="I17" s="121"/>
      <c r="J17" s="121"/>
      <c r="K17" s="121"/>
      <c r="L17" s="121"/>
      <c r="M17" s="121"/>
      <c r="N17" s="121"/>
      <c r="O17" s="121"/>
      <c r="P17" s="121"/>
      <c r="Q17" s="121"/>
      <c r="R17" s="121"/>
      <c r="S17" s="121"/>
    </row>
    <row r="18" spans="1:21" s="46" customFormat="1" ht="13.8" x14ac:dyDescent="0.25">
      <c r="A18" s="112" t="s">
        <v>152</v>
      </c>
      <c r="B18" s="119"/>
      <c r="C18" s="119"/>
      <c r="D18" s="114"/>
      <c r="E18" s="121"/>
      <c r="F18" s="121"/>
      <c r="G18" s="121"/>
      <c r="H18" s="121"/>
      <c r="I18" s="121"/>
      <c r="J18" s="121"/>
      <c r="K18" s="121"/>
      <c r="L18" s="121"/>
      <c r="M18" s="121"/>
      <c r="N18" s="121"/>
      <c r="O18" s="121"/>
      <c r="P18" s="121"/>
      <c r="Q18" s="121"/>
      <c r="R18" s="121"/>
      <c r="S18" s="121"/>
    </row>
    <row r="19" spans="1:21" s="46" customFormat="1" ht="13.8" x14ac:dyDescent="0.25">
      <c r="A19" s="119"/>
      <c r="B19" s="119"/>
      <c r="C19" s="119"/>
      <c r="D19" s="114"/>
      <c r="E19" s="121"/>
      <c r="F19" s="121"/>
      <c r="G19" s="121"/>
      <c r="H19" s="121"/>
      <c r="I19" s="121"/>
      <c r="J19" s="121"/>
      <c r="K19" s="121"/>
      <c r="L19" s="121"/>
      <c r="M19" s="121"/>
      <c r="N19" s="121"/>
      <c r="O19" s="121"/>
      <c r="P19" s="121"/>
      <c r="Q19" s="121"/>
      <c r="R19" s="121"/>
      <c r="S19" s="121"/>
    </row>
    <row r="20" spans="1:21" s="46" customFormat="1" ht="13.8" x14ac:dyDescent="0.25">
      <c r="A20" s="111" t="s">
        <v>63</v>
      </c>
      <c r="B20" s="111"/>
      <c r="C20" s="111"/>
      <c r="D20" s="114"/>
      <c r="E20" s="121"/>
      <c r="F20" s="121"/>
      <c r="G20" s="121"/>
      <c r="H20" s="121"/>
      <c r="I20" s="121"/>
      <c r="J20" s="121"/>
      <c r="K20" s="121"/>
      <c r="L20" s="121"/>
      <c r="M20" s="121"/>
      <c r="N20" s="121"/>
      <c r="O20" s="121"/>
      <c r="P20" s="121"/>
      <c r="Q20" s="121"/>
      <c r="R20" s="121"/>
      <c r="S20" s="121"/>
    </row>
    <row r="21" spans="1:21" s="122" customFormat="1" ht="13.8" x14ac:dyDescent="0.25">
      <c r="A21" s="112"/>
      <c r="B21" s="112"/>
      <c r="C21" s="112"/>
      <c r="D21" s="112"/>
      <c r="E21" s="46"/>
      <c r="F21" s="46"/>
      <c r="G21" s="46"/>
      <c r="H21" s="46"/>
      <c r="I21" s="46"/>
      <c r="J21" s="46"/>
      <c r="K21" s="46"/>
      <c r="L21" s="46"/>
      <c r="M21" s="46"/>
      <c r="N21" s="46"/>
      <c r="O21" s="46"/>
      <c r="P21" s="46"/>
      <c r="Q21" s="46"/>
      <c r="R21" s="46"/>
      <c r="S21" s="46"/>
      <c r="T21" s="46"/>
      <c r="U21" s="46"/>
    </row>
    <row r="22" spans="1:21" s="122" customFormat="1" ht="13.8" x14ac:dyDescent="0.25">
      <c r="A22" s="119" t="s">
        <v>62</v>
      </c>
      <c r="B22" s="119"/>
      <c r="C22" s="119"/>
      <c r="D22" s="119"/>
      <c r="E22" s="123">
        <f t="shared" ref="E22:P22" si="1">SUM(E21:E21)</f>
        <v>0</v>
      </c>
      <c r="F22" s="123">
        <f t="shared" si="1"/>
        <v>0</v>
      </c>
      <c r="G22" s="123">
        <f t="shared" si="1"/>
        <v>0</v>
      </c>
      <c r="H22" s="123">
        <f t="shared" si="1"/>
        <v>0</v>
      </c>
      <c r="I22" s="123">
        <f t="shared" si="1"/>
        <v>0</v>
      </c>
      <c r="J22" s="123">
        <f t="shared" si="1"/>
        <v>0</v>
      </c>
      <c r="K22" s="123">
        <f t="shared" si="1"/>
        <v>0</v>
      </c>
      <c r="L22" s="123">
        <f t="shared" si="1"/>
        <v>0</v>
      </c>
      <c r="M22" s="123">
        <f t="shared" si="1"/>
        <v>0</v>
      </c>
      <c r="N22" s="123">
        <f t="shared" si="1"/>
        <v>0</v>
      </c>
      <c r="O22" s="123">
        <f t="shared" si="1"/>
        <v>0</v>
      </c>
      <c r="P22" s="123">
        <f t="shared" si="1"/>
        <v>0</v>
      </c>
      <c r="Q22" s="124"/>
      <c r="R22" s="123">
        <f>SUM(R21:R21)</f>
        <v>0</v>
      </c>
      <c r="S22" s="125"/>
      <c r="T22" s="46"/>
      <c r="U22" s="46"/>
    </row>
    <row r="23" spans="1:21" s="122" customFormat="1" ht="13.8" x14ac:dyDescent="0.25">
      <c r="A23" s="112"/>
      <c r="B23" s="112"/>
      <c r="C23" s="112"/>
      <c r="D23" s="112"/>
      <c r="E23" s="46"/>
      <c r="F23" s="46"/>
      <c r="G23" s="46"/>
      <c r="H23" s="46"/>
      <c r="I23" s="46"/>
      <c r="J23" s="46"/>
      <c r="K23" s="46"/>
      <c r="L23" s="46"/>
      <c r="M23" s="46"/>
      <c r="N23" s="46"/>
      <c r="O23" s="46"/>
      <c r="P23" s="46"/>
      <c r="Q23" s="46"/>
      <c r="R23" s="46"/>
      <c r="S23" s="46"/>
      <c r="T23" s="46"/>
      <c r="U23" s="46"/>
    </row>
    <row r="24" spans="1:21" s="122" customFormat="1" thickBot="1" x14ac:dyDescent="0.3">
      <c r="A24" s="126" t="s">
        <v>61</v>
      </c>
      <c r="B24" s="126"/>
      <c r="C24" s="126"/>
      <c r="D24" s="126"/>
      <c r="E24" s="127">
        <f t="shared" ref="E24:P24" si="2">+E16+E22</f>
        <v>-12921.61</v>
      </c>
      <c r="F24" s="127">
        <f t="shared" si="2"/>
        <v>0</v>
      </c>
      <c r="G24" s="127">
        <f t="shared" si="2"/>
        <v>0</v>
      </c>
      <c r="H24" s="127">
        <f t="shared" si="2"/>
        <v>0</v>
      </c>
      <c r="I24" s="127">
        <f t="shared" si="2"/>
        <v>0</v>
      </c>
      <c r="J24" s="127">
        <f t="shared" si="2"/>
        <v>472091.72</v>
      </c>
      <c r="K24" s="127">
        <f t="shared" si="2"/>
        <v>82781.62</v>
      </c>
      <c r="L24" s="127">
        <f t="shared" si="2"/>
        <v>2080</v>
      </c>
      <c r="M24" s="127">
        <f t="shared" si="2"/>
        <v>97.5</v>
      </c>
      <c r="N24" s="127">
        <f t="shared" si="2"/>
        <v>455</v>
      </c>
      <c r="O24" s="127">
        <f t="shared" si="2"/>
        <v>1075</v>
      </c>
      <c r="P24" s="127">
        <f t="shared" si="2"/>
        <v>-500.73</v>
      </c>
      <c r="Q24" s="46"/>
      <c r="R24" s="127">
        <f>+R16+R22</f>
        <v>545158.5</v>
      </c>
      <c r="S24" s="46"/>
      <c r="T24" s="128">
        <v>545158.5</v>
      </c>
      <c r="U24" s="127">
        <f>R24-T24</f>
        <v>0</v>
      </c>
    </row>
    <row r="25" spans="1:21" s="122" customFormat="1" thickTop="1" x14ac:dyDescent="0.25">
      <c r="A25" s="46"/>
      <c r="B25" s="46"/>
      <c r="C25" s="46"/>
      <c r="D25" s="46"/>
      <c r="E25" s="46"/>
      <c r="F25" s="46"/>
      <c r="G25" s="46"/>
      <c r="H25" s="46"/>
      <c r="I25" s="46"/>
      <c r="J25" s="46"/>
      <c r="K25" s="46"/>
      <c r="L25" s="46"/>
      <c r="M25" s="46"/>
      <c r="N25" s="46"/>
      <c r="O25" s="46"/>
      <c r="P25" s="46"/>
      <c r="Q25" s="46"/>
      <c r="R25" s="46"/>
      <c r="S25" s="46"/>
      <c r="T25" s="46"/>
      <c r="U25" s="46"/>
    </row>
    <row r="26" spans="1:21" s="122" customFormat="1" ht="13.8" x14ac:dyDescent="0.25">
      <c r="A26" s="135" t="str">
        <f>$B$3&amp;" Actual Transfers"</f>
        <v>2021 Actual Transfers</v>
      </c>
      <c r="B26" s="136"/>
      <c r="C26" s="136"/>
      <c r="D26" s="136"/>
      <c r="E26" s="137" t="str">
        <f t="shared" ref="E26:P26" si="3">E8</f>
        <v>Jan-21</v>
      </c>
      <c r="F26" s="137" t="str">
        <f t="shared" si="3"/>
        <v>Feb-21</v>
      </c>
      <c r="G26" s="137" t="str">
        <f t="shared" si="3"/>
        <v>Mar-21</v>
      </c>
      <c r="H26" s="137" t="str">
        <f t="shared" si="3"/>
        <v>Apr-21</v>
      </c>
      <c r="I26" s="137" t="str">
        <f t="shared" si="3"/>
        <v>May-21</v>
      </c>
      <c r="J26" s="137" t="str">
        <f t="shared" si="3"/>
        <v>Jun-21</v>
      </c>
      <c r="K26" s="137" t="str">
        <f t="shared" si="3"/>
        <v>Jul-21</v>
      </c>
      <c r="L26" s="137" t="str">
        <f t="shared" si="3"/>
        <v>Aug-21</v>
      </c>
      <c r="M26" s="137" t="str">
        <f t="shared" si="3"/>
        <v>Sep-21</v>
      </c>
      <c r="N26" s="137" t="str">
        <f t="shared" si="3"/>
        <v>Oct-21</v>
      </c>
      <c r="O26" s="137" t="str">
        <f t="shared" si="3"/>
        <v>Nov-21</v>
      </c>
      <c r="P26" s="137" t="str">
        <f t="shared" si="3"/>
        <v>Dec-21</v>
      </c>
      <c r="Q26" s="137"/>
      <c r="R26" s="137" t="str">
        <f>R8</f>
        <v>Total 2021</v>
      </c>
      <c r="S26" s="136"/>
      <c r="T26" s="46"/>
      <c r="U26" s="46"/>
    </row>
    <row r="27" spans="1:21" s="46" customFormat="1" ht="13.8" x14ac:dyDescent="0.25"/>
    <row r="28" spans="1:21" s="46" customFormat="1" ht="13.8" x14ac:dyDescent="0.25">
      <c r="A28" s="111" t="s">
        <v>63</v>
      </c>
    </row>
    <row r="29" spans="1:21" s="46" customFormat="1" ht="13.8" x14ac:dyDescent="0.25">
      <c r="A29" s="129" t="s">
        <v>16</v>
      </c>
      <c r="R29" s="130"/>
    </row>
    <row r="30" spans="1:21" s="46" customFormat="1" ht="13.8" x14ac:dyDescent="0.25">
      <c r="A30" s="129" t="s">
        <v>153</v>
      </c>
      <c r="B30" s="46" t="s">
        <v>154</v>
      </c>
      <c r="C30" s="46">
        <v>99422110</v>
      </c>
      <c r="D30" s="46" t="s">
        <v>155</v>
      </c>
      <c r="E30" s="115"/>
      <c r="F30" s="115"/>
      <c r="G30" s="115"/>
      <c r="H30" s="115"/>
      <c r="I30" s="115"/>
      <c r="J30" s="116"/>
      <c r="K30" s="115"/>
      <c r="L30" s="115"/>
      <c r="M30" s="115"/>
      <c r="N30" s="115"/>
      <c r="O30" s="115">
        <v>1495.42</v>
      </c>
      <c r="P30" s="115"/>
      <c r="R30" s="117">
        <f t="shared" ref="R30:R33" si="4">SUM(E30:P30)</f>
        <v>1495.42</v>
      </c>
    </row>
    <row r="31" spans="1:21" s="46" customFormat="1" ht="13.8" x14ac:dyDescent="0.25">
      <c r="A31" s="129" t="s">
        <v>156</v>
      </c>
      <c r="B31" s="46" t="s">
        <v>154</v>
      </c>
      <c r="C31" s="46">
        <v>99422117</v>
      </c>
      <c r="D31" s="46" t="s">
        <v>155</v>
      </c>
      <c r="E31" s="115"/>
      <c r="F31" s="115"/>
      <c r="G31" s="115"/>
      <c r="H31" s="115"/>
      <c r="I31" s="115"/>
      <c r="J31" s="116"/>
      <c r="K31" s="115"/>
      <c r="L31" s="115"/>
      <c r="M31" s="115"/>
      <c r="N31" s="115"/>
      <c r="O31" s="115">
        <v>2985.83</v>
      </c>
      <c r="P31" s="115"/>
      <c r="R31" s="117">
        <f t="shared" si="4"/>
        <v>2985.83</v>
      </c>
    </row>
    <row r="32" spans="1:21" s="46" customFormat="1" ht="13.8" x14ac:dyDescent="0.25">
      <c r="A32" s="129" t="s">
        <v>157</v>
      </c>
      <c r="B32" s="46" t="s">
        <v>158</v>
      </c>
      <c r="C32" s="46">
        <v>923374</v>
      </c>
      <c r="D32" s="46" t="s">
        <v>136</v>
      </c>
      <c r="E32" s="115"/>
      <c r="F32" s="115"/>
      <c r="G32" s="115"/>
      <c r="H32" s="115"/>
      <c r="I32" s="115"/>
      <c r="J32" s="116"/>
      <c r="K32" s="115"/>
      <c r="L32" s="115"/>
      <c r="M32" s="115"/>
      <c r="N32" s="115"/>
      <c r="O32" s="115">
        <v>144593</v>
      </c>
      <c r="P32" s="115"/>
      <c r="R32" s="117">
        <f t="shared" si="4"/>
        <v>144593</v>
      </c>
    </row>
    <row r="33" spans="1:21" s="46" customFormat="1" ht="13.8" x14ac:dyDescent="0.25">
      <c r="A33" s="129" t="s">
        <v>159</v>
      </c>
      <c r="B33" s="46" t="s">
        <v>160</v>
      </c>
      <c r="C33" s="46">
        <v>922697</v>
      </c>
      <c r="D33" s="46" t="s">
        <v>136</v>
      </c>
      <c r="E33" s="115"/>
      <c r="F33" s="115"/>
      <c r="G33" s="115"/>
      <c r="H33" s="115"/>
      <c r="I33" s="115"/>
      <c r="J33" s="116"/>
      <c r="K33" s="115"/>
      <c r="L33" s="115"/>
      <c r="M33" s="115"/>
      <c r="N33" s="115"/>
      <c r="O33" s="115">
        <v>66615</v>
      </c>
      <c r="P33" s="115"/>
      <c r="R33" s="117">
        <f t="shared" si="4"/>
        <v>66615</v>
      </c>
    </row>
    <row r="34" spans="1:21" s="46" customFormat="1" ht="13.8" x14ac:dyDescent="0.25"/>
    <row r="35" spans="1:21" s="46" customFormat="1" ht="13.8" x14ac:dyDescent="0.25">
      <c r="A35" s="119" t="s">
        <v>73</v>
      </c>
      <c r="E35" s="120">
        <f t="shared" ref="E35:P35" si="5">SUM(E28:E34)</f>
        <v>0</v>
      </c>
      <c r="F35" s="120">
        <f t="shared" si="5"/>
        <v>0</v>
      </c>
      <c r="G35" s="120">
        <f t="shared" si="5"/>
        <v>0</v>
      </c>
      <c r="H35" s="120">
        <f t="shared" si="5"/>
        <v>0</v>
      </c>
      <c r="I35" s="120">
        <f t="shared" si="5"/>
        <v>0</v>
      </c>
      <c r="J35" s="120">
        <f t="shared" si="5"/>
        <v>0</v>
      </c>
      <c r="K35" s="120">
        <f t="shared" si="5"/>
        <v>0</v>
      </c>
      <c r="L35" s="120">
        <f t="shared" si="5"/>
        <v>0</v>
      </c>
      <c r="M35" s="120">
        <f t="shared" si="5"/>
        <v>0</v>
      </c>
      <c r="N35" s="120">
        <f t="shared" si="5"/>
        <v>0</v>
      </c>
      <c r="O35" s="120">
        <f t="shared" si="5"/>
        <v>215689.25</v>
      </c>
      <c r="P35" s="120">
        <f t="shared" si="5"/>
        <v>0</v>
      </c>
      <c r="R35" s="120">
        <f>SUM(R28:R34)</f>
        <v>215689.25</v>
      </c>
    </row>
    <row r="36" spans="1:21" s="46" customFormat="1" ht="13.8" x14ac:dyDescent="0.25"/>
    <row r="37" spans="1:21" s="46" customFormat="1" thickBot="1" x14ac:dyDescent="0.3">
      <c r="A37" s="126" t="s">
        <v>72</v>
      </c>
      <c r="E37" s="127">
        <f>E35</f>
        <v>0</v>
      </c>
      <c r="F37" s="127">
        <f t="shared" ref="F37:R37" si="6">F35</f>
        <v>0</v>
      </c>
      <c r="G37" s="127">
        <f t="shared" si="6"/>
        <v>0</v>
      </c>
      <c r="H37" s="127">
        <f t="shared" si="6"/>
        <v>0</v>
      </c>
      <c r="I37" s="127">
        <f t="shared" si="6"/>
        <v>0</v>
      </c>
      <c r="J37" s="127">
        <f t="shared" si="6"/>
        <v>0</v>
      </c>
      <c r="K37" s="127">
        <f t="shared" si="6"/>
        <v>0</v>
      </c>
      <c r="L37" s="127">
        <f t="shared" si="6"/>
        <v>0</v>
      </c>
      <c r="M37" s="127">
        <f t="shared" si="6"/>
        <v>0</v>
      </c>
      <c r="N37" s="127">
        <f t="shared" si="6"/>
        <v>0</v>
      </c>
      <c r="O37" s="127">
        <f t="shared" si="6"/>
        <v>215689.25</v>
      </c>
      <c r="P37" s="127">
        <f t="shared" si="6"/>
        <v>0</v>
      </c>
      <c r="R37" s="127">
        <f t="shared" si="6"/>
        <v>215689.25</v>
      </c>
      <c r="T37" s="128">
        <v>215689.25</v>
      </c>
      <c r="U37" s="127">
        <f>R37-T37</f>
        <v>0</v>
      </c>
    </row>
    <row r="38" spans="1:21" s="46" customFormat="1" ht="15" thickTop="1" x14ac:dyDescent="0.3">
      <c r="A38" s="131"/>
    </row>
    <row r="39" spans="1:21" s="46" customFormat="1" ht="13.8" x14ac:dyDescent="0.25"/>
    <row r="40" spans="1:21" s="46" customFormat="1" ht="13.8" x14ac:dyDescent="0.25"/>
    <row r="41" spans="1:21" s="46" customFormat="1" ht="13.8" x14ac:dyDescent="0.25">
      <c r="A41" s="135" t="str">
        <f>$B$3&amp;" Actual Retirements"</f>
        <v>2021 Actual Retirements</v>
      </c>
      <c r="B41" s="136"/>
      <c r="C41" s="136"/>
      <c r="D41" s="136"/>
      <c r="E41" s="137" t="str">
        <f t="shared" ref="E41:P41" si="7">E8</f>
        <v>Jan-21</v>
      </c>
      <c r="F41" s="137" t="str">
        <f t="shared" si="7"/>
        <v>Feb-21</v>
      </c>
      <c r="G41" s="137" t="str">
        <f t="shared" si="7"/>
        <v>Mar-21</v>
      </c>
      <c r="H41" s="137" t="str">
        <f t="shared" si="7"/>
        <v>Apr-21</v>
      </c>
      <c r="I41" s="137" t="str">
        <f t="shared" si="7"/>
        <v>May-21</v>
      </c>
      <c r="J41" s="137" t="str">
        <f t="shared" si="7"/>
        <v>Jun-21</v>
      </c>
      <c r="K41" s="137" t="str">
        <f t="shared" si="7"/>
        <v>Jul-21</v>
      </c>
      <c r="L41" s="137" t="str">
        <f t="shared" si="7"/>
        <v>Aug-21</v>
      </c>
      <c r="M41" s="137" t="str">
        <f t="shared" si="7"/>
        <v>Sep-21</v>
      </c>
      <c r="N41" s="137" t="str">
        <f t="shared" si="7"/>
        <v>Oct-21</v>
      </c>
      <c r="O41" s="137" t="str">
        <f t="shared" si="7"/>
        <v>Nov-21</v>
      </c>
      <c r="P41" s="137" t="str">
        <f t="shared" si="7"/>
        <v>Dec-21</v>
      </c>
      <c r="Q41" s="137"/>
      <c r="R41" s="136" t="str">
        <f>R8</f>
        <v>Total 2021</v>
      </c>
      <c r="S41" s="136"/>
    </row>
    <row r="42" spans="1:21" s="46" customFormat="1" ht="13.8" x14ac:dyDescent="0.25"/>
    <row r="43" spans="1:21" s="46" customFormat="1" ht="13.8" x14ac:dyDescent="0.25">
      <c r="A43" s="111" t="s">
        <v>59</v>
      </c>
      <c r="B43" s="117"/>
      <c r="C43" s="117"/>
      <c r="D43" s="117"/>
      <c r="E43" s="117"/>
      <c r="F43" s="117"/>
      <c r="G43" s="117"/>
      <c r="H43" s="117"/>
      <c r="I43" s="117"/>
      <c r="J43" s="117"/>
      <c r="K43" s="117"/>
      <c r="L43" s="117"/>
      <c r="M43" s="117"/>
      <c r="N43" s="117"/>
      <c r="O43" s="117"/>
      <c r="P43" s="117"/>
      <c r="Q43" s="117"/>
      <c r="R43" s="117"/>
      <c r="S43" s="117"/>
    </row>
    <row r="44" spans="1:21" s="46" customFormat="1" ht="13.8" x14ac:dyDescent="0.25">
      <c r="A44" s="112" t="s">
        <v>161</v>
      </c>
      <c r="B44" s="129" t="s">
        <v>134</v>
      </c>
      <c r="C44" s="129">
        <v>262983</v>
      </c>
      <c r="D44" s="114" t="s">
        <v>137</v>
      </c>
      <c r="E44" s="115"/>
      <c r="F44" s="115"/>
      <c r="G44" s="115"/>
      <c r="H44" s="115"/>
      <c r="I44" s="115"/>
      <c r="J44" s="116">
        <v>-8585.16</v>
      </c>
      <c r="K44" s="115"/>
      <c r="L44" s="115"/>
      <c r="M44" s="115"/>
      <c r="N44" s="115"/>
      <c r="O44" s="115"/>
      <c r="P44" s="115"/>
      <c r="Q44" s="117"/>
      <c r="R44" s="117">
        <f t="shared" ref="R44:R55" si="8">SUM(E44:P44)</f>
        <v>-8585.16</v>
      </c>
      <c r="S44" s="117"/>
    </row>
    <row r="45" spans="1:21" s="46" customFormat="1" ht="13.8" x14ac:dyDescent="0.25">
      <c r="A45" s="112" t="s">
        <v>162</v>
      </c>
      <c r="B45" s="129" t="s">
        <v>134</v>
      </c>
      <c r="C45" s="129">
        <v>262449</v>
      </c>
      <c r="D45" s="114" t="s">
        <v>137</v>
      </c>
      <c r="E45" s="115"/>
      <c r="F45" s="115"/>
      <c r="G45" s="115"/>
      <c r="H45" s="115"/>
      <c r="I45" s="115"/>
      <c r="J45" s="116">
        <v>-8585.16</v>
      </c>
      <c r="K45" s="115"/>
      <c r="L45" s="115"/>
      <c r="M45" s="115"/>
      <c r="N45" s="115"/>
      <c r="O45" s="115"/>
      <c r="P45" s="115"/>
      <c r="Q45" s="117"/>
      <c r="R45" s="117">
        <f t="shared" si="8"/>
        <v>-8585.16</v>
      </c>
      <c r="S45" s="117"/>
    </row>
    <row r="46" spans="1:21" s="46" customFormat="1" ht="13.8" x14ac:dyDescent="0.25">
      <c r="A46" s="112" t="s">
        <v>163</v>
      </c>
      <c r="B46" s="129" t="s">
        <v>134</v>
      </c>
      <c r="C46" s="129">
        <v>263062</v>
      </c>
      <c r="D46" s="114" t="s">
        <v>137</v>
      </c>
      <c r="E46" s="115"/>
      <c r="F46" s="115"/>
      <c r="G46" s="115"/>
      <c r="H46" s="115"/>
      <c r="I46" s="115"/>
      <c r="J46" s="116">
        <v>-8585.16</v>
      </c>
      <c r="K46" s="115"/>
      <c r="L46" s="115"/>
      <c r="M46" s="115"/>
      <c r="N46" s="115"/>
      <c r="O46" s="115"/>
      <c r="P46" s="115"/>
      <c r="Q46" s="117"/>
      <c r="R46" s="117">
        <f t="shared" si="8"/>
        <v>-8585.16</v>
      </c>
      <c r="S46" s="117"/>
    </row>
    <row r="47" spans="1:21" s="46" customFormat="1" ht="13.8" x14ac:dyDescent="0.25">
      <c r="A47" s="112" t="s">
        <v>164</v>
      </c>
      <c r="B47" s="129" t="s">
        <v>134</v>
      </c>
      <c r="C47" s="129">
        <v>262502</v>
      </c>
      <c r="D47" s="114" t="s">
        <v>137</v>
      </c>
      <c r="E47" s="115"/>
      <c r="F47" s="115"/>
      <c r="G47" s="115"/>
      <c r="H47" s="115"/>
      <c r="I47" s="115"/>
      <c r="J47" s="116">
        <v>-8585.16</v>
      </c>
      <c r="K47" s="115"/>
      <c r="L47" s="115"/>
      <c r="M47" s="115"/>
      <c r="N47" s="115"/>
      <c r="O47" s="115"/>
      <c r="P47" s="115"/>
      <c r="Q47" s="117"/>
      <c r="R47" s="117">
        <f t="shared" si="8"/>
        <v>-8585.16</v>
      </c>
      <c r="S47" s="117"/>
    </row>
    <row r="48" spans="1:21" s="46" customFormat="1" ht="13.8" x14ac:dyDescent="0.25">
      <c r="A48" s="112" t="s">
        <v>165</v>
      </c>
      <c r="B48" s="129" t="s">
        <v>134</v>
      </c>
      <c r="C48" s="129">
        <v>262908</v>
      </c>
      <c r="D48" s="114" t="s">
        <v>137</v>
      </c>
      <c r="E48" s="115"/>
      <c r="F48" s="115"/>
      <c r="G48" s="115"/>
      <c r="H48" s="115"/>
      <c r="I48" s="115"/>
      <c r="J48" s="116">
        <v>-8585.16</v>
      </c>
      <c r="K48" s="115"/>
      <c r="L48" s="115"/>
      <c r="M48" s="115"/>
      <c r="N48" s="115"/>
      <c r="O48" s="115"/>
      <c r="P48" s="115"/>
      <c r="Q48" s="117"/>
      <c r="R48" s="117">
        <f t="shared" si="8"/>
        <v>-8585.16</v>
      </c>
      <c r="S48" s="117"/>
    </row>
    <row r="49" spans="1:20" s="46" customFormat="1" ht="13.8" x14ac:dyDescent="0.25">
      <c r="A49" s="112" t="s">
        <v>166</v>
      </c>
      <c r="B49" s="129" t="s">
        <v>134</v>
      </c>
      <c r="C49" s="129">
        <v>263652</v>
      </c>
      <c r="D49" s="114" t="s">
        <v>137</v>
      </c>
      <c r="E49" s="115"/>
      <c r="F49" s="115"/>
      <c r="G49" s="115"/>
      <c r="H49" s="115"/>
      <c r="I49" s="115"/>
      <c r="J49" s="116">
        <v>-8585.16</v>
      </c>
      <c r="K49" s="115"/>
      <c r="L49" s="115"/>
      <c r="M49" s="115"/>
      <c r="N49" s="115"/>
      <c r="O49" s="115"/>
      <c r="P49" s="115"/>
      <c r="Q49" s="117"/>
      <c r="R49" s="117">
        <f t="shared" si="8"/>
        <v>-8585.16</v>
      </c>
      <c r="S49" s="117"/>
    </row>
    <row r="50" spans="1:20" s="46" customFormat="1" ht="13.8" x14ac:dyDescent="0.25">
      <c r="A50" s="112" t="s">
        <v>167</v>
      </c>
      <c r="B50" s="129" t="s">
        <v>134</v>
      </c>
      <c r="C50" s="129">
        <v>262836</v>
      </c>
      <c r="D50" s="114" t="s">
        <v>137</v>
      </c>
      <c r="E50" s="115"/>
      <c r="F50" s="115"/>
      <c r="G50" s="115"/>
      <c r="H50" s="115"/>
      <c r="I50" s="115"/>
      <c r="J50" s="116">
        <v>-5723.4400000000005</v>
      </c>
      <c r="K50" s="115"/>
      <c r="L50" s="115"/>
      <c r="M50" s="115"/>
      <c r="N50" s="115"/>
      <c r="O50" s="115"/>
      <c r="P50" s="115"/>
      <c r="Q50" s="117"/>
      <c r="R50" s="117">
        <f t="shared" si="8"/>
        <v>-5723.4400000000005</v>
      </c>
      <c r="S50" s="117"/>
    </row>
    <row r="51" spans="1:20" s="46" customFormat="1" ht="13.8" x14ac:dyDescent="0.25">
      <c r="A51" s="112" t="s">
        <v>168</v>
      </c>
      <c r="B51" s="129" t="s">
        <v>134</v>
      </c>
      <c r="C51" s="129">
        <v>262553</v>
      </c>
      <c r="D51" s="114" t="s">
        <v>137</v>
      </c>
      <c r="E51" s="115"/>
      <c r="F51" s="115"/>
      <c r="G51" s="115"/>
      <c r="H51" s="115"/>
      <c r="I51" s="115"/>
      <c r="J51" s="116">
        <v>-8585.16</v>
      </c>
      <c r="K51" s="115"/>
      <c r="L51" s="115"/>
      <c r="M51" s="115"/>
      <c r="N51" s="115"/>
      <c r="O51" s="115"/>
      <c r="P51" s="115"/>
      <c r="Q51" s="117"/>
      <c r="R51" s="117">
        <f t="shared" si="8"/>
        <v>-8585.16</v>
      </c>
      <c r="S51" s="117"/>
    </row>
    <row r="52" spans="1:20" s="46" customFormat="1" ht="13.8" x14ac:dyDescent="0.25">
      <c r="A52" s="112" t="s">
        <v>169</v>
      </c>
      <c r="B52" s="129" t="s">
        <v>134</v>
      </c>
      <c r="C52" s="129">
        <v>262473</v>
      </c>
      <c r="D52" s="114" t="s">
        <v>137</v>
      </c>
      <c r="E52" s="115"/>
      <c r="F52" s="115"/>
      <c r="G52" s="115"/>
      <c r="H52" s="115"/>
      <c r="I52" s="115"/>
      <c r="J52" s="116">
        <v>-5723.4400000000005</v>
      </c>
      <c r="K52" s="115"/>
      <c r="L52" s="115"/>
      <c r="M52" s="115"/>
      <c r="N52" s="115"/>
      <c r="O52" s="115"/>
      <c r="P52" s="115"/>
      <c r="Q52" s="117"/>
      <c r="R52" s="117">
        <f t="shared" si="8"/>
        <v>-5723.4400000000005</v>
      </c>
      <c r="S52" s="117"/>
    </row>
    <row r="53" spans="1:20" s="46" customFormat="1" ht="13.8" x14ac:dyDescent="0.25">
      <c r="A53" s="112" t="s">
        <v>170</v>
      </c>
      <c r="B53" s="129" t="s">
        <v>134</v>
      </c>
      <c r="C53" s="129">
        <v>263388</v>
      </c>
      <c r="D53" s="114" t="s">
        <v>137</v>
      </c>
      <c r="E53" s="115"/>
      <c r="F53" s="115"/>
      <c r="G53" s="115"/>
      <c r="H53" s="115"/>
      <c r="I53" s="115"/>
      <c r="J53" s="116">
        <v>-5723.4400000000005</v>
      </c>
      <c r="K53" s="115"/>
      <c r="L53" s="115"/>
      <c r="M53" s="115"/>
      <c r="N53" s="115"/>
      <c r="O53" s="115"/>
      <c r="P53" s="115"/>
      <c r="Q53" s="117"/>
      <c r="R53" s="117">
        <f t="shared" si="8"/>
        <v>-5723.4400000000005</v>
      </c>
      <c r="S53" s="117"/>
    </row>
    <row r="54" spans="1:20" s="46" customFormat="1" ht="13.8" x14ac:dyDescent="0.25">
      <c r="A54" s="112" t="s">
        <v>171</v>
      </c>
      <c r="B54" s="129" t="s">
        <v>134</v>
      </c>
      <c r="C54" s="129">
        <v>262393</v>
      </c>
      <c r="D54" s="114" t="s">
        <v>137</v>
      </c>
      <c r="E54" s="115"/>
      <c r="F54" s="115"/>
      <c r="G54" s="115"/>
      <c r="H54" s="115"/>
      <c r="I54" s="115"/>
      <c r="J54" s="116">
        <v>-5723.4400000000005</v>
      </c>
      <c r="K54" s="115"/>
      <c r="L54" s="115"/>
      <c r="M54" s="115"/>
      <c r="N54" s="115"/>
      <c r="O54" s="115"/>
      <c r="P54" s="115"/>
      <c r="Q54" s="117"/>
      <c r="R54" s="117">
        <f t="shared" si="8"/>
        <v>-5723.4400000000005</v>
      </c>
      <c r="S54" s="117"/>
    </row>
    <row r="55" spans="1:20" s="46" customFormat="1" ht="13.8" x14ac:dyDescent="0.25">
      <c r="A55" s="112" t="s">
        <v>172</v>
      </c>
      <c r="B55" s="129" t="s">
        <v>134</v>
      </c>
      <c r="C55" s="129">
        <v>253139</v>
      </c>
      <c r="D55" s="114" t="s">
        <v>137</v>
      </c>
      <c r="E55" s="115"/>
      <c r="F55" s="115"/>
      <c r="G55" s="115"/>
      <c r="H55" s="115"/>
      <c r="I55" s="115"/>
      <c r="J55" s="116">
        <v>-23825.98</v>
      </c>
      <c r="K55" s="115"/>
      <c r="L55" s="115"/>
      <c r="M55" s="115"/>
      <c r="N55" s="115"/>
      <c r="O55" s="115"/>
      <c r="P55" s="115"/>
      <c r="Q55" s="117"/>
      <c r="R55" s="117">
        <f t="shared" si="8"/>
        <v>-23825.98</v>
      </c>
      <c r="S55" s="117"/>
    </row>
    <row r="56" spans="1:20" s="46" customFormat="1" ht="13.8" x14ac:dyDescent="0.25">
      <c r="B56" s="117"/>
      <c r="C56" s="117"/>
      <c r="D56" s="117"/>
      <c r="E56" s="117"/>
      <c r="F56" s="117"/>
      <c r="G56" s="117"/>
      <c r="H56" s="117"/>
      <c r="I56" s="117"/>
      <c r="J56" s="117"/>
      <c r="K56" s="117"/>
      <c r="L56" s="117"/>
      <c r="M56" s="117"/>
      <c r="N56" s="117"/>
      <c r="O56" s="117"/>
      <c r="P56" s="117"/>
      <c r="Q56" s="117"/>
      <c r="R56" s="117"/>
      <c r="S56" s="117"/>
    </row>
    <row r="57" spans="1:20" s="46" customFormat="1" ht="13.8" x14ac:dyDescent="0.25">
      <c r="A57" s="119" t="s">
        <v>69</v>
      </c>
      <c r="B57" s="117"/>
      <c r="C57" s="117"/>
      <c r="D57" s="117"/>
      <c r="E57" s="120">
        <f t="shared" ref="E57:P57" si="9">SUM(E43:E56)</f>
        <v>0</v>
      </c>
      <c r="F57" s="120">
        <f t="shared" si="9"/>
        <v>0</v>
      </c>
      <c r="G57" s="120">
        <f t="shared" si="9"/>
        <v>0</v>
      </c>
      <c r="H57" s="120">
        <f t="shared" si="9"/>
        <v>0</v>
      </c>
      <c r="I57" s="120">
        <f t="shared" si="9"/>
        <v>0</v>
      </c>
      <c r="J57" s="120">
        <f t="shared" si="9"/>
        <v>-106815.86000000002</v>
      </c>
      <c r="K57" s="120">
        <f t="shared" si="9"/>
        <v>0</v>
      </c>
      <c r="L57" s="120">
        <f t="shared" si="9"/>
        <v>0</v>
      </c>
      <c r="M57" s="120">
        <f t="shared" si="9"/>
        <v>0</v>
      </c>
      <c r="N57" s="120">
        <f t="shared" si="9"/>
        <v>0</v>
      </c>
      <c r="O57" s="120">
        <f t="shared" si="9"/>
        <v>0</v>
      </c>
      <c r="P57" s="120">
        <f t="shared" si="9"/>
        <v>0</v>
      </c>
      <c r="Q57" s="117"/>
      <c r="R57" s="120">
        <f>SUM(R43:R56)</f>
        <v>-106815.86000000002</v>
      </c>
      <c r="S57" s="117"/>
      <c r="T57" s="141">
        <f>R16+R57</f>
        <v>438342.64</v>
      </c>
    </row>
    <row r="58" spans="1:20" s="46" customFormat="1" ht="13.8" x14ac:dyDescent="0.25">
      <c r="A58" s="132"/>
      <c r="B58" s="129"/>
      <c r="C58" s="129"/>
      <c r="D58" s="129"/>
      <c r="E58" s="133"/>
      <c r="F58" s="133"/>
      <c r="G58" s="133"/>
      <c r="H58" s="133"/>
      <c r="I58" s="133"/>
      <c r="J58" s="134"/>
      <c r="K58" s="133"/>
      <c r="L58" s="133"/>
      <c r="M58" s="133"/>
      <c r="N58" s="133"/>
      <c r="O58" s="133"/>
      <c r="P58" s="133"/>
      <c r="Q58" s="117"/>
      <c r="R58" s="117"/>
      <c r="S58" s="117"/>
    </row>
    <row r="59" spans="1:20" s="46" customFormat="1" ht="13.8" x14ac:dyDescent="0.25">
      <c r="A59" s="111" t="s">
        <v>63</v>
      </c>
      <c r="B59" s="129"/>
      <c r="C59" s="129"/>
      <c r="D59" s="129"/>
      <c r="E59" s="133"/>
      <c r="F59" s="133"/>
      <c r="G59" s="133"/>
      <c r="H59" s="133"/>
      <c r="I59" s="133"/>
      <c r="J59" s="134"/>
      <c r="K59" s="133"/>
      <c r="L59" s="133"/>
      <c r="M59" s="133"/>
      <c r="N59" s="133"/>
      <c r="O59" s="133"/>
      <c r="P59" s="133"/>
      <c r="Q59" s="117"/>
      <c r="R59" s="117"/>
      <c r="S59" s="117"/>
    </row>
    <row r="60" spans="1:20" s="46" customFormat="1" ht="13.8" x14ac:dyDescent="0.25">
      <c r="A60" s="112" t="s">
        <v>16</v>
      </c>
      <c r="B60" s="129"/>
      <c r="C60" s="129"/>
      <c r="D60" s="133"/>
      <c r="E60" s="133"/>
      <c r="F60" s="133"/>
      <c r="G60" s="133"/>
      <c r="H60" s="133"/>
      <c r="I60" s="133"/>
      <c r="J60" s="133"/>
      <c r="K60" s="133"/>
      <c r="L60" s="133"/>
      <c r="M60" s="133"/>
      <c r="N60" s="133"/>
      <c r="O60" s="133"/>
      <c r="P60" s="133"/>
      <c r="Q60" s="117"/>
      <c r="R60" s="117"/>
      <c r="S60" s="117"/>
    </row>
    <row r="61" spans="1:20" s="46" customFormat="1" ht="13.8" x14ac:dyDescent="0.25">
      <c r="A61" s="112" t="s">
        <v>173</v>
      </c>
      <c r="B61" s="129" t="s">
        <v>174</v>
      </c>
      <c r="C61" s="129">
        <v>900903</v>
      </c>
      <c r="D61" s="129" t="s">
        <v>136</v>
      </c>
      <c r="E61" s="115"/>
      <c r="F61" s="115"/>
      <c r="G61" s="115"/>
      <c r="H61" s="115"/>
      <c r="I61" s="115"/>
      <c r="J61" s="116">
        <v>-119998</v>
      </c>
      <c r="K61" s="115"/>
      <c r="L61" s="115"/>
      <c r="M61" s="115"/>
      <c r="N61" s="115"/>
      <c r="O61" s="115"/>
      <c r="P61" s="115"/>
      <c r="Q61" s="117"/>
      <c r="R61" s="117">
        <f t="shared" ref="R61:R63" si="10">SUM(E61:P61)</f>
        <v>-119998</v>
      </c>
      <c r="S61" s="117"/>
    </row>
    <row r="62" spans="1:20" s="46" customFormat="1" ht="13.8" x14ac:dyDescent="0.25">
      <c r="A62" s="112" t="s">
        <v>175</v>
      </c>
      <c r="B62" s="129" t="s">
        <v>176</v>
      </c>
      <c r="C62" s="129">
        <v>900904</v>
      </c>
      <c r="D62" s="129" t="s">
        <v>136</v>
      </c>
      <c r="E62" s="115"/>
      <c r="F62" s="115"/>
      <c r="G62" s="115"/>
      <c r="H62" s="115"/>
      <c r="I62" s="115"/>
      <c r="J62" s="116">
        <v>-146071</v>
      </c>
      <c r="K62" s="115"/>
      <c r="L62" s="115"/>
      <c r="M62" s="115"/>
      <c r="N62" s="115"/>
      <c r="O62" s="115"/>
      <c r="P62" s="115"/>
      <c r="Q62" s="117"/>
      <c r="R62" s="117">
        <f t="shared" si="10"/>
        <v>-146071</v>
      </c>
      <c r="S62" s="117"/>
    </row>
    <row r="63" spans="1:20" s="46" customFormat="1" ht="13.8" x14ac:dyDescent="0.25">
      <c r="A63" s="112" t="s">
        <v>177</v>
      </c>
      <c r="B63" s="129" t="s">
        <v>176</v>
      </c>
      <c r="C63" s="129">
        <v>900906</v>
      </c>
      <c r="D63" s="129" t="s">
        <v>136</v>
      </c>
      <c r="E63" s="115"/>
      <c r="F63" s="115"/>
      <c r="G63" s="115"/>
      <c r="H63" s="115"/>
      <c r="I63" s="115"/>
      <c r="J63" s="116">
        <v>-146071</v>
      </c>
      <c r="K63" s="115"/>
      <c r="L63" s="115"/>
      <c r="M63" s="115"/>
      <c r="N63" s="115"/>
      <c r="O63" s="115"/>
      <c r="P63" s="115"/>
      <c r="Q63" s="117"/>
      <c r="R63" s="117">
        <f t="shared" si="10"/>
        <v>-146071</v>
      </c>
      <c r="S63" s="117"/>
    </row>
    <row r="64" spans="1:20" s="46" customFormat="1" ht="13.8" x14ac:dyDescent="0.25"/>
    <row r="65" spans="1:21" s="46" customFormat="1" ht="13.8" x14ac:dyDescent="0.25">
      <c r="A65" s="119" t="s">
        <v>70</v>
      </c>
      <c r="E65" s="120">
        <f t="shared" ref="E65:P65" si="11">SUM(E60:E64)</f>
        <v>0</v>
      </c>
      <c r="F65" s="120">
        <f t="shared" si="11"/>
        <v>0</v>
      </c>
      <c r="G65" s="120">
        <f t="shared" si="11"/>
        <v>0</v>
      </c>
      <c r="H65" s="120">
        <f t="shared" si="11"/>
        <v>0</v>
      </c>
      <c r="I65" s="120">
        <f t="shared" si="11"/>
        <v>0</v>
      </c>
      <c r="J65" s="120">
        <f t="shared" si="11"/>
        <v>-412140</v>
      </c>
      <c r="K65" s="120">
        <f t="shared" si="11"/>
        <v>0</v>
      </c>
      <c r="L65" s="120">
        <f t="shared" si="11"/>
        <v>0</v>
      </c>
      <c r="M65" s="120">
        <f t="shared" si="11"/>
        <v>0</v>
      </c>
      <c r="N65" s="120">
        <f t="shared" si="11"/>
        <v>0</v>
      </c>
      <c r="O65" s="120">
        <f t="shared" si="11"/>
        <v>0</v>
      </c>
      <c r="P65" s="120">
        <f t="shared" si="11"/>
        <v>0</v>
      </c>
      <c r="R65" s="120">
        <f>SUM(R60:R64)</f>
        <v>-412140</v>
      </c>
    </row>
    <row r="66" spans="1:21" s="46" customFormat="1" ht="13.8" x14ac:dyDescent="0.25"/>
    <row r="67" spans="1:21" s="46" customFormat="1" thickBot="1" x14ac:dyDescent="0.3">
      <c r="A67" s="126" t="s">
        <v>71</v>
      </c>
      <c r="B67" s="119"/>
      <c r="C67" s="119"/>
      <c r="D67" s="119"/>
      <c r="E67" s="127">
        <f t="shared" ref="E67:P67" si="12">E57+E65</f>
        <v>0</v>
      </c>
      <c r="F67" s="127">
        <f t="shared" si="12"/>
        <v>0</v>
      </c>
      <c r="G67" s="127">
        <f t="shared" si="12"/>
        <v>0</v>
      </c>
      <c r="H67" s="127">
        <f t="shared" si="12"/>
        <v>0</v>
      </c>
      <c r="I67" s="127">
        <f t="shared" si="12"/>
        <v>0</v>
      </c>
      <c r="J67" s="127">
        <f t="shared" si="12"/>
        <v>-518955.86</v>
      </c>
      <c r="K67" s="127">
        <f t="shared" si="12"/>
        <v>0</v>
      </c>
      <c r="L67" s="127">
        <f t="shared" si="12"/>
        <v>0</v>
      </c>
      <c r="M67" s="127">
        <f t="shared" si="12"/>
        <v>0</v>
      </c>
      <c r="N67" s="127">
        <f t="shared" si="12"/>
        <v>0</v>
      </c>
      <c r="O67" s="127">
        <f t="shared" si="12"/>
        <v>0</v>
      </c>
      <c r="P67" s="127">
        <f t="shared" si="12"/>
        <v>0</v>
      </c>
      <c r="R67" s="127">
        <f>R57+R65</f>
        <v>-518955.86</v>
      </c>
      <c r="S67" s="121"/>
      <c r="T67" s="128">
        <v>-518955.86000000004</v>
      </c>
      <c r="U67" s="127">
        <f>R67-T67</f>
        <v>0</v>
      </c>
    </row>
    <row r="68" spans="1:21" s="46" customFormat="1" thickTop="1" x14ac:dyDescent="0.25"/>
    <row r="69" spans="1:21" s="46" customFormat="1" ht="13.8" x14ac:dyDescent="0.25">
      <c r="J69" s="141"/>
    </row>
  </sheetData>
  <pageMargins left="0.42" right="0.38" top="1" bottom="1" header="0.5" footer="0.5"/>
  <pageSetup paperSize="17" scale="85" orientation="landscape" r:id="rId1"/>
  <headerFooter alignWithMargins="0">
    <oddHeader>&amp;C&amp;"Arial,Bold"&amp;12ODEC 2022 Transmission Formula Rate Update
Supporting Workpapers &amp;R&amp;12Page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1"/>
  <sheetViews>
    <sheetView tabSelected="1" view="pageLayout" zoomScaleNormal="100" workbookViewId="0">
      <selection activeCell="E7" sqref="E7"/>
    </sheetView>
  </sheetViews>
  <sheetFormatPr defaultRowHeight="13.2" x14ac:dyDescent="0.25"/>
  <cols>
    <col min="1" max="1" width="4.5546875" customWidth="1"/>
    <col min="2" max="2" width="24.33203125" bestFit="1" customWidth="1"/>
    <col min="3" max="3" width="32.33203125" bestFit="1" customWidth="1"/>
    <col min="4" max="4" width="22.33203125" bestFit="1" customWidth="1"/>
    <col min="5" max="5" width="4.88671875" customWidth="1"/>
  </cols>
  <sheetData>
    <row r="1" spans="1:5" x14ac:dyDescent="0.25">
      <c r="A1" s="85" t="s">
        <v>180</v>
      </c>
    </row>
    <row r="3" spans="1:5" ht="14.4" x14ac:dyDescent="0.3">
      <c r="B3" s="81" t="s">
        <v>89</v>
      </c>
      <c r="C3" s="81" t="s">
        <v>90</v>
      </c>
      <c r="D3" s="81" t="s">
        <v>91</v>
      </c>
    </row>
    <row r="4" spans="1:5" x14ac:dyDescent="0.25">
      <c r="B4" s="82" t="s">
        <v>92</v>
      </c>
      <c r="C4" s="82" t="s">
        <v>93</v>
      </c>
    </row>
    <row r="5" spans="1:5" x14ac:dyDescent="0.25">
      <c r="B5" s="82" t="s">
        <v>94</v>
      </c>
      <c r="C5" s="82" t="s">
        <v>95</v>
      </c>
    </row>
    <row r="6" spans="1:5" x14ac:dyDescent="0.25">
      <c r="B6" s="82" t="s">
        <v>96</v>
      </c>
      <c r="C6" s="82" t="s">
        <v>97</v>
      </c>
    </row>
    <row r="7" spans="1:5" x14ac:dyDescent="0.25">
      <c r="B7" s="82" t="s">
        <v>98</v>
      </c>
      <c r="C7" s="82" t="s">
        <v>99</v>
      </c>
    </row>
    <row r="8" spans="1:5" x14ac:dyDescent="0.25">
      <c r="B8" s="82" t="s">
        <v>100</v>
      </c>
      <c r="C8" s="82" t="s">
        <v>101</v>
      </c>
    </row>
    <row r="9" spans="1:5" x14ac:dyDescent="0.25">
      <c r="B9" s="82" t="s">
        <v>102</v>
      </c>
      <c r="C9" s="82" t="s">
        <v>103</v>
      </c>
      <c r="D9" s="83">
        <v>-1839569.85</v>
      </c>
      <c r="E9" s="86" t="s">
        <v>22</v>
      </c>
    </row>
    <row r="10" spans="1:5" x14ac:dyDescent="0.25">
      <c r="B10" s="82" t="s">
        <v>104</v>
      </c>
      <c r="C10" s="82" t="s">
        <v>105</v>
      </c>
      <c r="D10" s="83"/>
    </row>
    <row r="11" spans="1:5" x14ac:dyDescent="0.25">
      <c r="B11" s="82" t="s">
        <v>106</v>
      </c>
      <c r="C11" s="82" t="s">
        <v>107</v>
      </c>
      <c r="D11" s="83">
        <v>-21346.51</v>
      </c>
    </row>
    <row r="12" spans="1:5" x14ac:dyDescent="0.25">
      <c r="B12" s="82" t="s">
        <v>108</v>
      </c>
      <c r="C12" s="82" t="s">
        <v>109</v>
      </c>
      <c r="D12" s="83"/>
    </row>
    <row r="13" spans="1:5" x14ac:dyDescent="0.25">
      <c r="B13" s="82" t="s">
        <v>110</v>
      </c>
      <c r="C13" s="82" t="s">
        <v>111</v>
      </c>
      <c r="D13" s="83"/>
    </row>
    <row r="14" spans="1:5" x14ac:dyDescent="0.25">
      <c r="B14" s="82" t="s">
        <v>112</v>
      </c>
      <c r="C14" s="82" t="s">
        <v>113</v>
      </c>
      <c r="D14" s="83"/>
    </row>
    <row r="15" spans="1:5" x14ac:dyDescent="0.25">
      <c r="B15" s="82" t="s">
        <v>114</v>
      </c>
      <c r="C15" s="82" t="s">
        <v>115</v>
      </c>
      <c r="D15" s="83"/>
    </row>
    <row r="16" spans="1:5" x14ac:dyDescent="0.25">
      <c r="B16" s="82" t="s">
        <v>116</v>
      </c>
      <c r="C16" s="82" t="s">
        <v>117</v>
      </c>
      <c r="D16" s="83"/>
    </row>
    <row r="17" spans="1:4" x14ac:dyDescent="0.25">
      <c r="B17" s="82" t="s">
        <v>118</v>
      </c>
      <c r="C17" s="82" t="s">
        <v>119</v>
      </c>
      <c r="D17" s="83"/>
    </row>
    <row r="18" spans="1:4" x14ac:dyDescent="0.25">
      <c r="B18" s="82"/>
      <c r="C18" s="82" t="s">
        <v>120</v>
      </c>
      <c r="D18" s="83">
        <f>SUM(D4:D17)</f>
        <v>-1860916.36</v>
      </c>
    </row>
    <row r="21" spans="1:4" x14ac:dyDescent="0.25">
      <c r="A21" s="86" t="s">
        <v>22</v>
      </c>
      <c r="B21" s="84" t="s">
        <v>121</v>
      </c>
    </row>
    <row r="22" spans="1:4" ht="5.25" customHeight="1" x14ac:dyDescent="0.25">
      <c r="A22" s="86"/>
      <c r="B22" s="84"/>
    </row>
    <row r="23" spans="1:4" x14ac:dyDescent="0.25">
      <c r="B23" s="84" t="s">
        <v>122</v>
      </c>
      <c r="C23" s="83">
        <v>1408942.2</v>
      </c>
    </row>
    <row r="24" spans="1:4" x14ac:dyDescent="0.25">
      <c r="B24" s="84"/>
      <c r="C24" s="83"/>
    </row>
    <row r="25" spans="1:4" x14ac:dyDescent="0.25">
      <c r="B25" s="84" t="s">
        <v>15</v>
      </c>
      <c r="C25" s="83">
        <v>22671.35</v>
      </c>
    </row>
    <row r="26" spans="1:4" x14ac:dyDescent="0.25">
      <c r="B26" s="84" t="s">
        <v>123</v>
      </c>
      <c r="C26" s="83">
        <v>81998.2</v>
      </c>
    </row>
    <row r="27" spans="1:4" x14ac:dyDescent="0.25">
      <c r="B27" s="84" t="s">
        <v>124</v>
      </c>
      <c r="C27" s="83">
        <v>105481</v>
      </c>
    </row>
    <row r="28" spans="1:4" x14ac:dyDescent="0.25">
      <c r="B28" s="84" t="s">
        <v>125</v>
      </c>
      <c r="C28" s="87">
        <v>220477.1</v>
      </c>
    </row>
    <row r="29" spans="1:4" x14ac:dyDescent="0.25">
      <c r="B29" s="84" t="s">
        <v>126</v>
      </c>
      <c r="C29" s="10">
        <f>SUM(C25:C28)</f>
        <v>430627.65</v>
      </c>
    </row>
    <row r="31" spans="1:4" x14ac:dyDescent="0.25">
      <c r="B31" s="84" t="s">
        <v>127</v>
      </c>
      <c r="C31" s="10">
        <f>+C23+C29</f>
        <v>1839569.85</v>
      </c>
    </row>
  </sheetData>
  <pageMargins left="0.42" right="0.38" top="1" bottom="1" header="0.5" footer="0.5"/>
  <pageSetup scale="85" orientation="portrait" horizontalDpi="1200" verticalDpi="1200" r:id="rId1"/>
  <headerFooter alignWithMargins="0">
    <oddHeader>&amp;C&amp;"Arial,Bold"&amp;12ODEC 2022 Transmission Formula Rate Update
Supporting Workpapers &amp;R&amp;12Page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Workpaper page 1</vt:lpstr>
      <vt:lpstr>Workpaper page 2</vt:lpstr>
      <vt:lpstr>Workpaper page 3_CWIP_ISL</vt:lpstr>
      <vt:lpstr>Workpaper pg 3_In Serv Fcst_ISL</vt:lpstr>
      <vt:lpstr>Workpaper pg 4_Actuals_ISL</vt:lpstr>
      <vt:lpstr>Workpaper page 5 - FERC 242</vt:lpstr>
      <vt:lpstr>'Workpaper page 1'!Print_Area</vt:lpstr>
      <vt:lpstr>'Workpaper page 2'!Print_Area</vt:lpstr>
      <vt:lpstr>'Workpaper page 3_CWIP_ISL'!Print_Area</vt:lpstr>
      <vt:lpstr>'Workpaper pg 4_Actuals_ISL'!Print_Area</vt:lpstr>
    </vt:vector>
  </TitlesOfParts>
  <Company>GDS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Joe Hoffman</cp:lastModifiedBy>
  <cp:lastPrinted>2018-04-02T14:03:35Z</cp:lastPrinted>
  <dcterms:created xsi:type="dcterms:W3CDTF">2007-06-27T15:47:51Z</dcterms:created>
  <dcterms:modified xsi:type="dcterms:W3CDTF">2022-05-12T15:49:53Z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{AD56A9F3-A4F2-4643-875D-D868B1C03A7D}</vt:lpwstr>
  </property>
</Properties>
</file>