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worksheets/sheet1.xml" ContentType="application/vnd.openxmlformats-officedocument.spreadsheetml.worksheet+xml"/>
  <Override PartName="/xl/customProperty2.bin" ContentType="application/vnd.openxmlformats-officedocument.spreadsheetml.customProperty"/>
  <Override PartName="/xl/worksheets/sheet2.xml" ContentType="application/vnd.openxmlformats-officedocument.spreadsheetml.worksheet+xml"/>
  <Override PartName="/xl/customProperty3.bin" ContentType="application/vnd.openxmlformats-officedocument.spreadsheetml.customProperty"/>
  <Override PartName="/xl/worksheets/sheet3.xml" ContentType="application/vnd.openxmlformats-officedocument.spreadsheetml.worksheet+xml"/>
  <Override PartName="/xl/customProperty4.bin" ContentType="application/vnd.openxmlformats-officedocument.spreadsheetml.customProperty"/>
  <Override PartName="/xl/worksheets/sheet4.xml" ContentType="application/vnd.openxmlformats-officedocument.spreadsheetml.worksheet+xml"/>
  <Override PartName="/xl/customProperty5.bin" ContentType="application/vnd.openxmlformats-officedocument.spreadsheetml.customProperty"/>
  <Override PartName="/xl/worksheets/sheet5.xml" ContentType="application/vnd.openxmlformats-officedocument.spreadsheetml.worksheet+xml"/>
  <Override PartName="/xl/customProperty6.bin" ContentType="application/vnd.openxmlformats-officedocument.spreadsheetml.customProperty"/>
  <Override PartName="/xl/worksheets/sheet6.xml" ContentType="application/vnd.openxmlformats-officedocument.spreadsheetml.worksheet+xml"/>
  <Override PartName="/xl/customProperty7.bin" ContentType="application/vnd.openxmlformats-officedocument.spreadsheetml.customProperty"/>
  <Override PartName="/xl/worksheets/sheet7.xml" ContentType="application/vnd.openxmlformats-officedocument.spreadsheetml.worksheet+xml"/>
  <Override PartName="/xl/customProperty8.bin" ContentType="application/vnd.openxmlformats-officedocument.spreadsheetml.customProperty"/>
  <Override PartName="/xl/worksheets/sheet8.xml" ContentType="application/vnd.openxmlformats-officedocument.spreadsheetml.worksheet+xml"/>
  <Override PartName="/xl/customProperty9.bin" ContentType="application/vnd.openxmlformats-officedocument.spreadsheetml.customProperty"/>
  <Override PartName="/xl/worksheets/sheet9.xml" ContentType="application/vnd.openxmlformats-officedocument.spreadsheetml.worksheet+xml"/>
  <Override PartName="/xl/customProperty10.bin" ContentType="application/vnd.openxmlformats-officedocument.spreadsheetml.customProperty"/>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filterPrivacy="1" defaultThemeVersion="124226"/>
  <mc:AlternateContent xmlns:mc="http://schemas.openxmlformats.org/markup-compatibility/2006">
    <mc:Choice Requires="x15">
      <x15ac:absPath xmlns:x15ac="http://schemas.microsoft.com/office/spreadsheetml/2010/11/ac" url="C:\Users\heunn\AppData\Local\Temp\4w2hstnm\"/>
    </mc:Choice>
  </mc:AlternateContent>
  <bookViews>
    <workbookView xWindow="15492" yWindow="3060" windowWidth="27732" windowHeight="17232" tabRatio="855" firstSheet="1" activeTab="1"/>
  </bookViews>
  <sheets>
    <sheet name="Attachment H" sheetId="1" r:id="rId2"/>
    <sheet name="1-Project Rev Req" sheetId="2" r:id="rId3"/>
    <sheet name="2-Incentive ROE" sheetId="16" r:id="rId4"/>
    <sheet name="3-Project True-up" sheetId="21" r:id="rId5"/>
    <sheet name="4- Rate Base" sheetId="5" r:id="rId6"/>
    <sheet name="4a-Projection ADIT" sheetId="26" r:id="rId7"/>
    <sheet name="5-P3 Support" sheetId="6" r:id="rId8"/>
    <sheet name="6-True-Up Interest" sheetId="7" r:id="rId9"/>
    <sheet name="7 - PBOP" sheetId="17" r:id="rId10"/>
    <sheet name="8-Dep Rates" sheetId="13" r:id="rId11"/>
  </sheets>
  <externalReferences>
    <externalReference r:id="rId18"/>
    <externalReference r:id="rId19"/>
    <externalReference r:id="rId20"/>
    <externalReference r:id="rId21"/>
    <externalReference r:id="rId22"/>
    <externalReference r:id="rId23"/>
    <externalReference r:id="rId24"/>
  </externalReferences>
  <definedNames>
    <definedName name="_31_Dec_00" localSheetId="2">#REF!</definedName>
    <definedName name="CH_COS" localSheetId="1">#REF!</definedName>
    <definedName name="DefaultCopy" localSheetId="2">#REF!</definedName>
    <definedName name="Mgmt" localSheetId="2">[5]Current!#REF!</definedName>
    <definedName name="new" localSheetId="2">#REF!</definedName>
    <definedName name="NSP_COS" localSheetId="1">#REF!</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1" localSheetId="1">#REF!</definedName>
    <definedName name="Print1" localSheetId="2">#REF!</definedName>
    <definedName name="Print3" localSheetId="1">#REF!</definedName>
    <definedName name="Print4" localSheetId="1">#REF!</definedName>
    <definedName name="SPS_COS" localSheetId="2">#REF!</definedName>
    <definedName name="Xcel" localSheetId="1">'[6]Data Entry and Forecaster'!#REF!</definedName>
    <definedName name="Xcel_COS" localSheetId="1">#REF!</definedName>
    <definedName name="Xcel_COS" localSheetId="2">#REF!</definedName>
    <definedName name="Z_F04A2B9A_C6FE_4FEB_AD1E_2CF9AC309BE4_.wvu.PrintArea" localSheetId="3" hidden="1">'3-Project True-up'!$A$1:$L$24</definedName>
  </definedNames>
  <calcPr fullCalcOnLoad="1"/>
  <extLst/>
</workbook>
</file>

<file path=xl/calcChain.xml><?xml version="1.0" encoding="utf-8"?>
<calcChain xmlns="http://schemas.openxmlformats.org/spreadsheetml/2006/main">
  <c r="D238" i="1" l="1"/>
</calcChain>
</file>

<file path=xl/sharedStrings.xml><?xml version="1.0" encoding="utf-8"?>
<sst xmlns="http://schemas.openxmlformats.org/spreadsheetml/2006/main" count="1411" uniqueCount="853">
  <si>
    <t>Bundled Sales for Resale  included on page 4 of Attachment H</t>
  </si>
  <si>
    <t xml:space="preserve">b. Bundled Sales for Resale </t>
  </si>
  <si>
    <t>Total PBOP expenses (Note A)</t>
  </si>
  <si>
    <t>Attach H, p 3, line 14 col 5</t>
  </si>
  <si>
    <t>Attach H, p 3, lines 17 &amp; 18, col 5 (Note H)</t>
  </si>
  <si>
    <t>Attach H, p 1, line 7 col 5</t>
  </si>
  <si>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</si>
  <si>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</si>
  <si>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</si>
  <si>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</si>
  <si>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</si>
  <si>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</si>
  <si>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</si>
  <si>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</si>
  <si>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</si>
  <si>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</si>
  <si>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</si>
  <si>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</si>
  <si>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</si>
  <si>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</si>
  <si>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</si>
  <si>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</si>
  <si>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</si>
  <si>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</si>
  <si>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</si>
  <si>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</si>
  <si>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</si>
  <si>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</si>
  <si>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</si>
  <si>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</si>
  <si>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</si>
  <si>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</si>
  <si>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</si>
  <si>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</si>
  <si>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</si>
  <si>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</si>
  <si>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</si>
  <si>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</si>
  <si>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</si>
  <si>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</si>
  <si>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</si>
  <si>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</si>
  <si>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</si>
  <si>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</si>
  <si>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</si>
  <si>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</si>
  <si>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</si>
  <si>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</si>
  <si>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</si>
  <si>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</si>
  <si>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</si>
  <si>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</si>
  <si>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</si>
  <si>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</si>
  <si>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</si>
  <si>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</si>
  <si>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</si>
  <si>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</si>
  <si>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</si>
  <si>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</si>
  <si>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</si>
  <si>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</si>
  <si>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</si>
  <si>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</si>
  <si>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</si>
  <si>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</si>
  <si>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</si>
  <si>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</si>
  <si>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</si>
  <si>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</si>
  <si>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</si>
  <si>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</si>
  <si>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</si>
  <si>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</si>
  <si>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</si>
  <si>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</si>
  <si>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</si>
  <si>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</si>
  <si>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</si>
  <si>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</si>
  <si>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</si>
  <si>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</si>
  <si>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</si>
  <si>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</si>
  <si>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 xml:space="preserve">         Inputs Required:</t>
  </si>
  <si>
    <t>FIT =</t>
  </si>
  <si>
    <t>SIT=</t>
  </si>
  <si>
    <t>p =</t>
  </si>
  <si>
    <t>Enter dollar amounts</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</si>
  <si>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</si>
  <si>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</si>
  <si>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</si>
  <si>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</si>
  <si>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</si>
  <si>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</si>
  <si>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</si>
  <si>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</si>
  <si>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</si>
  <si>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</si>
  <si>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</si>
  <si>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</si>
  <si>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</si>
  <si>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</si>
  <si>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</si>
  <si>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</si>
  <si>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</si>
  <si>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</si>
  <si>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</si>
  <si>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</si>
  <si>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</si>
  <si>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</si>
  <si>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</si>
  <si>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</si>
  <si>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</si>
  <si>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</si>
  <si>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</si>
  <si>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</si>
  <si>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 xml:space="preserve">   Amortization of Regulatory Asset</t>
  </si>
  <si>
    <t>Utilizing FERC Form 1 Data</t>
  </si>
  <si>
    <t>True-up Adjustment with Interest</t>
  </si>
  <si>
    <t>K</t>
  </si>
  <si>
    <t xml:space="preserve">  Unamortized Regulatory Asset </t>
  </si>
  <si>
    <t xml:space="preserve">  Unamortized Abandoned Plant  </t>
  </si>
  <si>
    <t>*</t>
  </si>
  <si>
    <t>page 1 of 5</t>
  </si>
  <si>
    <t xml:space="preserve">  Account No. 454</t>
  </si>
  <si>
    <t xml:space="preserve">  Account No. 456.1</t>
  </si>
  <si>
    <t xml:space="preserve">  Revenues from service provided by the ISO at a discount</t>
  </si>
  <si>
    <t>(Note C)</t>
  </si>
  <si>
    <t>(Note D)</t>
  </si>
  <si>
    <t>page 2 of 5</t>
  </si>
  <si>
    <t>356.1</t>
  </si>
  <si>
    <t>CE</t>
  </si>
  <si>
    <t>zero</t>
  </si>
  <si>
    <t xml:space="preserve">  CWC </t>
  </si>
  <si>
    <t>page 3 of 5</t>
  </si>
  <si>
    <t xml:space="preserve">     Less FERC Annual Fees</t>
  </si>
  <si>
    <t>Permanent Differences Tax Adjustment</t>
  </si>
  <si>
    <t>page 4 of 5</t>
  </si>
  <si>
    <t>WAGES &amp; SALARY ALLOCATOR  (W&amp;S)</t>
  </si>
  <si>
    <t>% Electric</t>
  </si>
  <si>
    <t>200.3.c</t>
  </si>
  <si>
    <t xml:space="preserve">  Preferred Stock  (112.3.c)</t>
  </si>
  <si>
    <t>REVENUE CREDITS</t>
  </si>
  <si>
    <t xml:space="preserve">  Total of (a)-(b)</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</si>
  <si>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</si>
  <si>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</si>
  <si>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</si>
  <si>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</si>
  <si>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</si>
  <si>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</si>
  <si>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</si>
  <si>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</si>
  <si>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</si>
  <si>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</si>
  <si>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</si>
  <si>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</si>
  <si>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Includes income related only to transmission facilities, such as pole attachments, rentals and special use.</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</si>
  <si>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</si>
  <si>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</si>
  <si>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</si>
  <si>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</si>
  <si>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</si>
  <si>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</si>
  <si>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</si>
  <si>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</si>
  <si>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</si>
  <si>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</si>
  <si>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</si>
  <si>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</si>
  <si>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</si>
  <si>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</si>
  <si>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</si>
  <si>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</si>
  <si>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</si>
  <si>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</si>
  <si>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</si>
  <si>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</si>
  <si>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</si>
  <si>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</si>
  <si>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</si>
  <si>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</si>
  <si>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</si>
  <si>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</si>
  <si>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</si>
  <si>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</si>
  <si>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</si>
  <si>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</si>
  <si>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</si>
  <si>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</si>
  <si>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</si>
  <si>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</si>
  <si>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</si>
  <si>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</si>
  <si>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</si>
  <si>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</si>
  <si>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</si>
  <si>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</si>
  <si>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</si>
  <si>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</si>
  <si>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</si>
  <si>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</si>
  <si>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</si>
  <si>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</si>
  <si>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</si>
  <si>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</si>
  <si>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</si>
  <si>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</si>
  <si>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</si>
  <si>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EPRI &amp; Reg. Comm. Exp. &amp; Non-safety  Ad.</t>
  </si>
  <si>
    <t>Transmission Related Reg. Comm. Exp.</t>
  </si>
  <si>
    <t>General &amp; Intangible</t>
  </si>
  <si>
    <t>Excess Deferred Income Taxes</t>
  </si>
  <si>
    <t>Amortized Investment Tax Credit (266.8f)</t>
  </si>
  <si>
    <t>15</t>
  </si>
  <si>
    <t>16</t>
  </si>
  <si>
    <t>(line 9 divided by line 1 col 3)</t>
  </si>
  <si>
    <t>Sum of line 4, 6, 8, and 10</t>
  </si>
  <si>
    <t>Sum of line 13 and 15</t>
  </si>
  <si>
    <t>Project Depreciation/Amortization Expense</t>
  </si>
  <si>
    <t>Incentive Return</t>
  </si>
  <si>
    <t>Incentive Return in basis Points</t>
  </si>
  <si>
    <t>Less Revenue Credits</t>
  </si>
  <si>
    <t xml:space="preserve">  Account No. 457.1 Scheduling</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</si>
  <si>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</si>
  <si>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</si>
  <si>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</si>
  <si>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</si>
  <si>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</si>
  <si>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</si>
  <si>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</si>
  <si>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</si>
  <si>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</si>
  <si>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</si>
  <si>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</si>
  <si>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</si>
  <si>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</si>
  <si>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</si>
  <si>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</si>
  <si>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</si>
  <si>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</si>
  <si>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</si>
  <si>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</si>
  <si>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</si>
  <si>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</si>
  <si>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</si>
  <si>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</si>
  <si>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</si>
  <si>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</si>
  <si>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</si>
  <si>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</si>
  <si>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</si>
  <si>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</si>
  <si>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</si>
  <si>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</si>
  <si>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</si>
  <si>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</si>
  <si>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</si>
  <si>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6a</t>
  </si>
  <si>
    <t xml:space="preserve">     Less PBOP Expense in Year</t>
  </si>
  <si>
    <t>7a</t>
  </si>
  <si>
    <t xml:space="preserve">     Plus PBOP Expense Allowed Amount</t>
  </si>
  <si>
    <t>(Note N)</t>
  </si>
  <si>
    <t>U</t>
  </si>
  <si>
    <t xml:space="preserve">ACCOUNT 454 (RENT FROM ELECTRIC PROPERTY) </t>
  </si>
  <si>
    <t>ACCOUNT 456.1 (OTHER ELECTRIC REVENUES)</t>
  </si>
  <si>
    <t>(page 3, line 47)</t>
  </si>
  <si>
    <t>GROSS REVENUE REQUIREMENT</t>
  </si>
  <si>
    <t>(Note O)</t>
  </si>
  <si>
    <t>(line 1 minus line 7)</t>
  </si>
  <si>
    <t>(line 8 plus line 9)</t>
  </si>
  <si>
    <t xml:space="preserve">     Plus Transmission Related Reg. Comm. Exp.  </t>
  </si>
  <si>
    <t xml:space="preserve">     Less EPRI &amp; Reg. Comm. Exp. &amp; Non-safety Ad.  </t>
  </si>
  <si>
    <t>(Sum of Lines 16 through 19)</t>
  </si>
  <si>
    <t xml:space="preserve">TOTAL DEPRECIATION </t>
  </si>
  <si>
    <t xml:space="preserve">TAXES OTHER THAN INCOME TAXES </t>
  </si>
  <si>
    <t>(Sum of Lines 23 through 29)</t>
  </si>
  <si>
    <t>TOTAL OTHER TAXES</t>
  </si>
  <si>
    <t>(Sum of Lines 1 through 5)</t>
  </si>
  <si>
    <t>TOTAL GROSS PLANT</t>
  </si>
  <si>
    <t>(Sum of Lines 8 through 12)</t>
  </si>
  <si>
    <t xml:space="preserve">TOTAL ACCUM. DEPRECIATION </t>
  </si>
  <si>
    <t>(Sum of Lines 15 through 19)</t>
  </si>
  <si>
    <t>(Sum of Lines 22 through 29)</t>
  </si>
  <si>
    <t xml:space="preserve">TOTAL ADJUSTMENTS </t>
  </si>
  <si>
    <t>TOTAL NET PLANT</t>
  </si>
  <si>
    <t>(Sum of Lines 2 through 6)</t>
  </si>
  <si>
    <t xml:space="preserve">TOTAL REVENUE CREDITS </t>
  </si>
  <si>
    <t xml:space="preserve">TOTAL WORKING CAPITAL  </t>
  </si>
  <si>
    <t xml:space="preserve">WORKING CAPITAL </t>
  </si>
  <si>
    <t>(Sum of Lines 20, 30, 31 &amp; 36)</t>
  </si>
  <si>
    <t xml:space="preserve">RATE BASE </t>
  </si>
  <si>
    <t>TOTAL O&amp;M</t>
  </si>
  <si>
    <t xml:space="preserve">Total </t>
  </si>
  <si>
    <t>(Note H)</t>
  </si>
  <si>
    <t>(Note I)</t>
  </si>
  <si>
    <t xml:space="preserve">Total Transmission plant  </t>
  </si>
  <si>
    <t xml:space="preserve">Less Transmission plant excluded from ISO rates  </t>
  </si>
  <si>
    <t xml:space="preserve">Less Transmission plant included in OATT Ancillary Services  </t>
  </si>
  <si>
    <t>(Line 1 minus Lines 2 &amp; 3)</t>
  </si>
  <si>
    <t>Transmission plant included in ISO rates</t>
  </si>
  <si>
    <t>(Line 4 divided by Line 1)</t>
  </si>
  <si>
    <t xml:space="preserve">Percentage of Transmission plant included in ISO Rates  </t>
  </si>
  <si>
    <t>(Sum of Lines 13 through 15)</t>
  </si>
  <si>
    <t>(Sum of Lines 7 through 10)</t>
  </si>
  <si>
    <t xml:space="preserve">  Long Term Debt </t>
  </si>
  <si>
    <t>(Line 36 times Line 38)</t>
  </si>
  <si>
    <t>(Line 36 times Line 39)</t>
  </si>
  <si>
    <t>(Line 36 times Line 37)</t>
  </si>
  <si>
    <t>(Sum of Lines 40 through 43)</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</si>
  <si>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</si>
  <si>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</si>
  <si>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</si>
  <si>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</si>
  <si>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</si>
  <si>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</si>
  <si>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(Page 2, Line 37 times Page 4, Line 23)</t>
  </si>
  <si>
    <t xml:space="preserve">WCLTD = Page 4, Line 20 </t>
  </si>
  <si>
    <t>R = Page 4, Line 23</t>
  </si>
  <si>
    <t xml:space="preserve">     FIT &amp; SIT &amp; P</t>
  </si>
  <si>
    <t>(Note G)</t>
  </si>
  <si>
    <t>(Sum of Lines 14, 20, 30, 44 &amp; 46)</t>
  </si>
  <si>
    <t>REV. REQUIREMENT</t>
  </si>
  <si>
    <t>b. Transmission charges associated with Project detailed on the Project Rev Req Schedule Col. 10.</t>
  </si>
  <si>
    <t xml:space="preserve">a. Transmission charges for all transmission transactions </t>
  </si>
  <si>
    <t xml:space="preserve">a. Bundled Non-RQ Sales for Resale </t>
  </si>
  <si>
    <t>FERC Annual Fees</t>
  </si>
  <si>
    <t>Highway &amp; Vehicle Taxes</t>
  </si>
  <si>
    <t>Gross Receipts Taxes</t>
  </si>
  <si>
    <t>Payments in lieu of Taxes</t>
  </si>
  <si>
    <t>Transmission Lease Payments</t>
  </si>
  <si>
    <t>4</t>
  </si>
  <si>
    <t>1</t>
  </si>
  <si>
    <t>3</t>
  </si>
  <si>
    <t>17</t>
  </si>
  <si>
    <t>18</t>
  </si>
  <si>
    <t>19</t>
  </si>
  <si>
    <t>20</t>
  </si>
  <si>
    <t>21</t>
  </si>
  <si>
    <t>22</t>
  </si>
  <si>
    <t>23</t>
  </si>
  <si>
    <t>24</t>
  </si>
  <si>
    <t>25</t>
  </si>
  <si>
    <t>26</t>
  </si>
  <si>
    <t>(j)</t>
  </si>
  <si>
    <t>Account No. 566 (Misc. Trans. Expense)</t>
  </si>
  <si>
    <t>Account No. 565</t>
  </si>
  <si>
    <t>Amortization of Abandoned Plant</t>
  </si>
  <si>
    <t>(k)</t>
  </si>
  <si>
    <t>Attach. 5, Line 13, Col. (e)</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</si>
  <si>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</si>
  <si>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</si>
  <si>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</si>
  <si>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</si>
  <si>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</si>
  <si>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</si>
  <si>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</si>
  <si>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</si>
  <si>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</si>
  <si>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</si>
  <si>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</si>
  <si>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</si>
  <si>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</si>
  <si>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</si>
  <si>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</si>
  <si>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</si>
  <si>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</si>
  <si>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</si>
  <si>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</si>
  <si>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 xml:space="preserve">  Common </t>
  </si>
  <si>
    <t>Attachment 4, Line 14, Col. (b)</t>
  </si>
  <si>
    <t>Attachment 4, Line 14, Col. (c)</t>
  </si>
  <si>
    <t>207.75.g for end of year, records for other months</t>
  </si>
  <si>
    <t>356.1 for end of year, records for other months</t>
  </si>
  <si>
    <t>219.20-24.c for end of year, records for other months</t>
  </si>
  <si>
    <t>219.26.c for end of year, records for other months</t>
  </si>
  <si>
    <t>Attachment 4, Line 14, Col. (h)</t>
  </si>
  <si>
    <t>Attachment 4, Line 14, Col. (i)</t>
  </si>
  <si>
    <t>Attachment 4, Line 28, Col. (c) (Note S)</t>
  </si>
  <si>
    <t>Attachment 4, Line 14, Col. (e) (Note C)</t>
  </si>
  <si>
    <t>1/8*(Page 3, Line 14 minus Page 3, Line 11)</t>
  </si>
  <si>
    <t>Attachment 4, Line 14, Col. (g)</t>
  </si>
  <si>
    <t>(Note E) Attach. 5, Line 13, Col. (f)</t>
  </si>
  <si>
    <t>(Sum of Lines 1, 4, 7, 7a, 8, 9, 13 less Lines 2, 3, 5, 6, 6a)</t>
  </si>
  <si>
    <t>321.112.b Attach. 5, Line 13, Col. (a)</t>
  </si>
  <si>
    <t xml:space="preserve">321.97.b Attach. 5, Line 13, Col. (b) </t>
  </si>
  <si>
    <t>321.96.b Attach. 5, Line 13, Col. (c)</t>
  </si>
  <si>
    <t>323.197.b Attach. 5, Line 13, Col. (d)</t>
  </si>
  <si>
    <t>(Note S) Attach. 5, Line 26, Col. (b)</t>
  </si>
  <si>
    <t>263.i Attach. 5, Line 26, Col. (c)</t>
  </si>
  <si>
    <t>263.i Attach. 5, Line 26, Col. (d)</t>
  </si>
  <si>
    <t>263.i Attach. 5, Line 26, Co.l (e)</t>
  </si>
  <si>
    <t>263.i Attach. 5, Line 26, Col. (f)</t>
  </si>
  <si>
    <t>263.i Attach. 5, Line 26, Col. (g)</t>
  </si>
  <si>
    <t>(enter negative) Attach. 5, Line 26, Col. (j)</t>
  </si>
  <si>
    <t>266.8f (enter negative) Attach. 5, Line 26, Col. (i)</t>
  </si>
  <si>
    <t>354.21.b</t>
  </si>
  <si>
    <t>354.24,25,26.b</t>
  </si>
  <si>
    <t xml:space="preserve">  Electric </t>
  </si>
  <si>
    <t xml:space="preserve">  Gas</t>
  </si>
  <si>
    <t xml:space="preserve">  Water </t>
  </si>
  <si>
    <t xml:space="preserve">  Total</t>
  </si>
  <si>
    <t>311.x.h</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</si>
  <si>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</si>
  <si>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(14)</t>
  </si>
  <si>
    <t>(15)</t>
  </si>
  <si>
    <t>Transmission O&amp;M Expenses</t>
  </si>
  <si>
    <t>A&amp;G Expenses</t>
  </si>
  <si>
    <t>Amortization of Regulatory Asset</t>
  </si>
  <si>
    <t>Depreciation Expense - Transmission</t>
  </si>
  <si>
    <t>Depreciation Expense - General &amp; Intangible</t>
  </si>
  <si>
    <t>Payroll Taxes</t>
  </si>
  <si>
    <t>Property Taxes</t>
  </si>
  <si>
    <t>Other Taxes</t>
  </si>
  <si>
    <t xml:space="preserve">  Common Stock</t>
  </si>
  <si>
    <t>Attachment 4, Line 28, Col. (b) (Note T)</t>
  </si>
  <si>
    <t>Calculation of PBOP Expenses</t>
  </si>
  <si>
    <t>Tax Effect of Permanent Differences</t>
  </si>
  <si>
    <t>Attachment 4, Line 14, Col. (f) (Note C)</t>
  </si>
  <si>
    <t>PBOPs</t>
  </si>
  <si>
    <t>(Page 1 line 11)</t>
  </si>
  <si>
    <t>(Page 1 line 16)</t>
  </si>
  <si>
    <t xml:space="preserve">Transmission charges for all transmission transactions </t>
  </si>
  <si>
    <t>Transmission charges associated with Project detailed on the Project Rev Req Schedule Col. 10.</t>
  </si>
  <si>
    <t>29</t>
  </si>
  <si>
    <r>
      <t>310 -</t>
    </r>
    <r>
      <rPr>
        <sz val="10"/>
        <rFont val="Times New Roman"/>
        <family val="1"/>
      </rPr>
      <t>311</t>
    </r>
  </si>
  <si>
    <t>Attach. 5, Line 26, Col. (k) (Note W)</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</si>
  <si>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</si>
  <si>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</si>
  <si>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</si>
  <si>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</si>
  <si>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</si>
  <si>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</si>
  <si>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</si>
  <si>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Attachment 8</t>
  </si>
  <si>
    <t>Company shall be allowed recovery of costs related to interest rate locks.  Absent a Section 205 filing, Company shall not include in the Formula Rate, the gains, losses, or costs related to other hedges.</t>
  </si>
  <si>
    <t xml:space="preserve">Company will not have any grandfathered agreements.  Therefore, this line shall remain zero. </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</si>
  <si>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</si>
  <si>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</si>
  <si>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</si>
  <si>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</si>
  <si>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</si>
  <si>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</si>
  <si>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</si>
  <si>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</si>
  <si>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</si>
  <si>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</si>
  <si>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Attachment H</t>
  </si>
  <si>
    <t xml:space="preserve"> in Attachment H that are not the result of a timing difference</t>
  </si>
  <si>
    <t>To be completed in conjunction with Attachment H.</t>
  </si>
  <si>
    <t>Preferred Dividends (118.29c) (positive number)</t>
  </si>
  <si>
    <t>Proprietary Capital (112.16.c)</t>
  </si>
  <si>
    <t>Less Account 216.1 (112.12.c)  (enter negative)</t>
  </si>
  <si>
    <t>Common Stock</t>
  </si>
  <si>
    <t>207.58.g for end of year, records for other months</t>
  </si>
  <si>
    <t>219.25.c for end of year, records for other months</t>
  </si>
  <si>
    <t>219.28.c &amp; 200.21.c for end of year, records for other months</t>
  </si>
  <si>
    <t>111.57.c for end of year, records for other months</t>
  </si>
  <si>
    <t>227.8.c &amp; 227.16.c for end of year, records for other months</t>
  </si>
  <si>
    <t>Under/(Over)</t>
  </si>
  <si>
    <t>1st Qtr</t>
  </si>
  <si>
    <t xml:space="preserve">2nd Qtr </t>
  </si>
  <si>
    <t xml:space="preserve">3rd Qtr </t>
  </si>
  <si>
    <t xml:space="preserve">1st Qtr </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</si>
  <si>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</si>
  <si>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</si>
  <si>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</si>
  <si>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</si>
  <si>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</si>
  <si>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</si>
  <si>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</si>
  <si>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</si>
  <si>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</si>
  <si>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(Note E) Attach. 5, Line 13, Col. (g)</t>
  </si>
  <si>
    <t>Attach. 5, Line 13, Col (h)</t>
  </si>
  <si>
    <t>(Note T) Attach. 5, Line 13, Col. (i)</t>
  </si>
  <si>
    <t>Attach. 5, Line 13, Col .(j)</t>
  </si>
  <si>
    <t xml:space="preserve">RATE BASE: </t>
  </si>
  <si>
    <t>DEPRECIATION EXPENSE  (Note U)</t>
  </si>
  <si>
    <t>The Unamortized Abandoned Plant balance is included in Net Plant, and Amortization of Abandoned Plant is included in Depreciation/Amortization Expense.</t>
  </si>
  <si>
    <t>Attach H, p 1 line 4</t>
  </si>
  <si>
    <t>Incentive ROE</t>
  </si>
  <si>
    <t xml:space="preserve">Less Preferred Stock (line 49) </t>
  </si>
  <si>
    <t>(Notes D &amp; I)</t>
  </si>
  <si>
    <t>(Notes E &amp; I)</t>
  </si>
  <si>
    <t>Ceiling Rate</t>
  </si>
  <si>
    <t>(Sum Col. 10 &amp; 12)</t>
  </si>
  <si>
    <t xml:space="preserve"> (12a)</t>
  </si>
  <si>
    <t>All facilities other than those being recovered under Schedules 7, 8, 9 are to be included in Attachment 1.</t>
  </si>
  <si>
    <t>Page 4, Line 28 must equal zero since all short-term power sales must be unbundled and the transmission component reflected in Account No. 456.1.</t>
  </si>
  <si>
    <t>Return    (Attach. H, page 3 line 46 col 5)</t>
  </si>
  <si>
    <t>Income Tax    (Attach. H, page 3 line 44 col 5)</t>
  </si>
  <si>
    <t>26a</t>
  </si>
  <si>
    <t xml:space="preserve">Lines 2-3 cannot change absent approval or acceptance by FERC in a separate proceeding. </t>
  </si>
  <si>
    <t>Attachment 7, Line 8, Col. (g)</t>
  </si>
  <si>
    <t>Attachment 7, Line 6, Col. (g)</t>
  </si>
  <si>
    <t xml:space="preserve">   Miscellaneous Transmission Expense (less amortization of regulatory asset)</t>
  </si>
  <si>
    <t>X</t>
  </si>
  <si>
    <t xml:space="preserve">COMMON PLANT ALLOCATOR  (CE)  (Note J and X) </t>
  </si>
  <si>
    <t>205.5.g &amp; 207.99.g for end of year, records for other months</t>
  </si>
  <si>
    <t>Attachment H, Page 3, Line No.:</t>
  </si>
  <si>
    <t>Attachment H, Page 4,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</si>
  <si>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</si>
  <si>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</si>
  <si>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</si>
  <si>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</si>
  <si>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</si>
  <si>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</si>
  <si>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</si>
  <si>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</si>
  <si>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</si>
  <si>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</si>
  <si>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Reserve 1</t>
  </si>
  <si>
    <t>30b</t>
  </si>
  <si>
    <t>Reserve 2</t>
  </si>
  <si>
    <t>30c</t>
  </si>
  <si>
    <t>Reserve 3</t>
  </si>
  <si>
    <t>30d</t>
  </si>
  <si>
    <t>Reserve 4</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</si>
  <si>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</si>
  <si>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</si>
  <si>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</si>
  <si>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</si>
  <si>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</si>
  <si>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</si>
  <si>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272.8.b &amp; 273.8.k</t>
  </si>
  <si>
    <t>274.2.b &amp; 275.2.k</t>
  </si>
  <si>
    <t>276.9.b &amp; 277.9.k</t>
  </si>
  <si>
    <t>234.8.b &amp; c</t>
  </si>
  <si>
    <t>Consistent with 266.8.b &amp; 267.8.h</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</si>
  <si>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</si>
  <si>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</si>
  <si>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</si>
  <si>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</si>
  <si>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</si>
  <si>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</si>
  <si>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</si>
  <si>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</si>
  <si>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</si>
  <si>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</si>
  <si>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t>Or Other Identifier</t>
  </si>
  <si>
    <t>Project Name</t>
  </si>
  <si>
    <r>
      <t>Requirement</t>
    </r>
    <r>
      <rPr>
        <vertAlign val="superscript"/>
        <sz val="10"/>
        <color theme="1"/>
        <rFont val="Times New Roman"/>
        <family val="1"/>
      </rPr>
      <t>1</t>
    </r>
  </si>
  <si>
    <t>Received</t>
  </si>
  <si>
    <t>Monthly Interest Rate</t>
  </si>
  <si>
    <t>Interest Income (Expense)</t>
  </si>
  <si>
    <t>In Dollars</t>
  </si>
  <si>
    <t>Col. (b) + Col. (c)</t>
  </si>
  <si>
    <t xml:space="preserve"> Project #</t>
  </si>
  <si>
    <t>15a</t>
  </si>
  <si>
    <t>15b</t>
  </si>
  <si>
    <t>15c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</si>
  <si>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</si>
  <si>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</si>
  <si>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</si>
  <si>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PBOP amount included in Company's O&amp;M and A&amp;G expenses included in FERC Account Nos. 500-935</t>
  </si>
  <si>
    <t>Project Depreciation Expense is the actual value booked for the project and included in the Depreciation Expense in Attachment H, page 3, line 16.  Project Depreciation Expense includes the amortization of Abandoned Plant</t>
  </si>
  <si>
    <t xml:space="preserve"> Gross plant does not include Unamortized Abandoned Plant.</t>
  </si>
  <si>
    <t>(Sum of Lines 33 through 35)</t>
  </si>
  <si>
    <t>(line 13 / line 16)</t>
  </si>
  <si>
    <t>(line 11)</t>
  </si>
  <si>
    <t>ACCOUNT 447 (SALES FOR RESALE) (Note L)</t>
  </si>
  <si>
    <t>Attach H, p 3, line 30 col 5</t>
  </si>
  <si>
    <t>Attach H, p 3, line 44 col 5</t>
  </si>
  <si>
    <t>Attach H, p 3, line 46 col 5</t>
  </si>
  <si>
    <t>Attachment H, Page 3, Line 37</t>
  </si>
  <si>
    <t>Attachment H, Page 3, Line 38</t>
  </si>
  <si>
    <t>Attachment H, Page 3, Line 39</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</si>
  <si>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</si>
  <si>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</si>
  <si>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</si>
  <si>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</si>
  <si>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</si>
  <si>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</si>
  <si>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</si>
  <si>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PBOP Expense for current year</t>
  </si>
  <si>
    <t>Cost per labor dollar (line2 / line3)</t>
  </si>
  <si>
    <t>Attachment 4, Line 28, Col. (h) (Notes B and X)</t>
  </si>
  <si>
    <t xml:space="preserve">LAND HELD FOR FUTURE USE  </t>
  </si>
  <si>
    <t>(Line 11 plus Line 12) Ties to 321.97.b</t>
  </si>
  <si>
    <t>336.7.b, d &amp;e Attach. 5, Line 13, Col. (k)</t>
  </si>
  <si>
    <t>336.11.b, d &amp;e</t>
  </si>
  <si>
    <t>336.10.b, d &amp;e, 336.1.b, d &amp;e Attach. 5, Line 26, Col. (a)</t>
  </si>
  <si>
    <t xml:space="preserve"> Total  (W&amp; S Allocator is 1 if lines 7-10 are zero)</t>
  </si>
  <si>
    <t xml:space="preserve">330.x.n </t>
  </si>
  <si>
    <t>Reserved</t>
  </si>
  <si>
    <t>GENERAL, INTANGIBLE AND COMMON (G&amp;C) DEPRECIATION EXPENSE</t>
  </si>
  <si>
    <t>Annual Allocation Factor for G, I &amp; C Depreciation Expense</t>
  </si>
  <si>
    <t>Total G, I &amp; C Depreciation Expense</t>
  </si>
  <si>
    <t>(line 14 divided by line 2 col 3)</t>
  </si>
  <si>
    <t>Attach H, p 2, line 16 col 5 plus line 27 &amp; 29 col 5 (Note B)</t>
  </si>
  <si>
    <t>Gross Transmission Plant is that identified on page 2 line 2 of Attachment H</t>
  </si>
  <si>
    <t>The Total General, Intangible and Common Depreciation Expense excludes any depreciation expense directly associated with a project and thereby included in page 2 column 9.</t>
  </si>
  <si>
    <t>(Attachment 2, Line 28 /100 * Col. 11)</t>
  </si>
  <si>
    <t>Net Rev Req</t>
  </si>
  <si>
    <t xml:space="preserve">Attachment H, Page 2 line 37, Col.5 </t>
  </si>
  <si>
    <t>(Attachment H, Notes Q and R)</t>
  </si>
  <si>
    <t>(Attachment H, Notes K, Q and R)</t>
  </si>
  <si>
    <t>Cost = Attachment H, Page 4 Line 22, Cost plus .01</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</si>
  <si>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</si>
  <si>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</si>
  <si>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</si>
  <si>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</si>
  <si>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</si>
  <si>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</si>
  <si>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</si>
  <si>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</si>
  <si>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</si>
  <si>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</si>
  <si>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</si>
  <si>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</si>
  <si>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</si>
  <si>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Prior Period Adjustment</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</si>
  <si>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</si>
  <si>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</si>
  <si>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</si>
  <si>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</si>
  <si>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</si>
  <si>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</si>
  <si>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</si>
  <si>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</si>
  <si>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</si>
  <si>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</si>
  <si>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</si>
  <si>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</si>
  <si>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</si>
  <si>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323.197.b</t>
  </si>
  <si>
    <t>(Note E)</t>
  </si>
  <si>
    <t>Portion of Transmission O&amp;M</t>
  </si>
  <si>
    <t>Portion of Account 566</t>
  </si>
  <si>
    <t>Balance of Account 566</t>
  </si>
  <si>
    <t>336.7.b, d &amp; e</t>
  </si>
  <si>
    <t>(Note S)</t>
  </si>
  <si>
    <t>266.8.f</t>
  </si>
  <si>
    <t>(Note W)</t>
  </si>
  <si>
    <t>336.10.b, d &amp; e, 336.1.b, d &amp; e</t>
  </si>
  <si>
    <t>(Note L)</t>
  </si>
  <si>
    <t>(Note M)</t>
  </si>
  <si>
    <t>Portion of Account 456.1</t>
  </si>
  <si>
    <t>Notes K, Q &amp; R from Attachment H</t>
  </si>
  <si>
    <t>Quarter (Note A)</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</si>
  <si>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</si>
  <si>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</si>
  <si>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</si>
  <si>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</si>
  <si>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</si>
  <si>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</si>
  <si>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11a</t>
  </si>
  <si>
    <t>11b</t>
  </si>
  <si>
    <t>11c</t>
  </si>
  <si>
    <t>L</t>
  </si>
  <si>
    <t>Date Payments Received</t>
  </si>
  <si>
    <t>Rate (line 8)</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</si>
  <si>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</si>
  <si>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</si>
  <si>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</si>
  <si>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</si>
  <si>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</si>
  <si>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When an updated projected net revenue requirement is posted due to an asset acquisition as provided for in the Protocols, the difference between the updated net revenue requirement in Col (16) and the revenues collected to date will be recovered</t>
  </si>
  <si>
    <t>263.i Attach. 5, Line 26, Col. (h)</t>
  </si>
  <si>
    <t>201.3.d</t>
  </si>
  <si>
    <t>201.3.e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</si>
  <si>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</si>
  <si>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214.x.d for end of year, records for other months</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</si>
  <si>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</si>
  <si>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</si>
  <si>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</si>
  <si>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</si>
  <si>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</si>
  <si>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</si>
  <si>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</si>
  <si>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</si>
  <si>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</si>
  <si>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</si>
  <si>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</si>
  <si>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</si>
  <si>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</si>
  <si>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</si>
  <si>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263.i</t>
  </si>
  <si>
    <t>(sum lines 41-43)</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</si>
  <si>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</si>
  <si>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</si>
  <si>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2) From Attachment 1, line 15, col. 14 for that project based on the actual costs for the Rate Year.</t>
  </si>
  <si>
    <t xml:space="preserve">     T=1 - {[(1 - SIT) * (1 - FIT)] / (1 - SIT * FIT * p)}</t>
  </si>
  <si>
    <t>Page 1 of 2</t>
  </si>
  <si>
    <t>Calculate using 13 month average balance, except ADIT.</t>
  </si>
  <si>
    <t>Calculated on Attachment 4 for the true up and on Attachment 4a for the projection</t>
  </si>
  <si>
    <t>Enter the percentage paid for by the transmission formula customers</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</si>
  <si>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</si>
  <si>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</si>
  <si>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</si>
  <si>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</si>
  <si>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</si>
  <si>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</si>
  <si>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</si>
  <si>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</si>
  <si>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</si>
  <si>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</si>
  <si>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</si>
  <si>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</si>
  <si>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</si>
  <si>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</si>
  <si>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</si>
  <si>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</si>
  <si>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</si>
  <si>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</si>
  <si>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</si>
  <si>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Average Balance</t>
  </si>
  <si>
    <t>Less FASB 106 &amp; 109 Items</t>
  </si>
  <si>
    <t>Account 282</t>
  </si>
  <si>
    <t>274.b</t>
  </si>
  <si>
    <t>275.k</t>
  </si>
  <si>
    <t>Account 283</t>
  </si>
  <si>
    <t>276.b</t>
  </si>
  <si>
    <t>277.k</t>
  </si>
  <si>
    <t>Account 281</t>
  </si>
  <si>
    <t>Attach 4, Line 28, Col. (d)/Attach 4a, Line 54, Col. H (Notes B and X)</t>
  </si>
  <si>
    <t>Attach 4, Line 28, Col. (e)/Attach 4a, Line 81, Col. H (Notes B and X)</t>
  </si>
  <si>
    <t>Attach 4, Line 28, Col. (f)/Attach 4a, Line 108, Col. H (Notes B and X)</t>
  </si>
  <si>
    <t>Attach 4, Line 28, Col. (g)/Attach 4a, Line 27, Col. H (Notes B and X)</t>
  </si>
  <si>
    <t>Project Net Plant or CWIP Balance</t>
  </si>
  <si>
    <t>Attach H, p 2, line 2 col 5  (Note A)</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</si>
  <si>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</si>
  <si>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</si>
  <si>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</si>
  <si>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</si>
  <si>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</si>
  <si>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</si>
  <si>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</si>
  <si>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</si>
  <si>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</si>
  <si>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</si>
  <si>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</si>
  <si>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</si>
  <si>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</si>
  <si>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</si>
  <si>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</si>
  <si>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</si>
  <si>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</si>
  <si>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</si>
  <si>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</si>
  <si>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</si>
  <si>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</si>
  <si>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</si>
  <si>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</si>
  <si>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</si>
  <si>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</si>
  <si>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</si>
  <si>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</si>
  <si>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</si>
  <si>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</si>
  <si>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</si>
  <si>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</si>
  <si>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</si>
  <si>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</si>
  <si>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</si>
  <si>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</si>
  <si>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</si>
  <si>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</si>
  <si>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</si>
  <si>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</si>
  <si>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</si>
  <si>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</si>
  <si>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</si>
  <si>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</si>
  <si>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</si>
  <si>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</si>
  <si>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</si>
  <si>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</si>
  <si>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</si>
  <si>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</si>
  <si>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</si>
  <si>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</si>
  <si>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RTO Project Number</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</si>
  <si>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</si>
  <si>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labor expensed (labor not capitalized) in current year, 354.28.b.</t>
  </si>
  <si>
    <t xml:space="preserve">Project Name </t>
  </si>
  <si>
    <t>205.46.g for end of year, records for other months</t>
  </si>
  <si>
    <t>NextEra</t>
  </si>
  <si>
    <t>Labor dollars (total labor under PBOP Plan, Note A)</t>
  </si>
  <si>
    <t xml:space="preserve"> in years. The estimated life of the facility or rights associated with the facility will not change  over the life of a CIAC</t>
  </si>
  <si>
    <t xml:space="preserve"> without prior FERC approval.</t>
  </si>
  <si>
    <t xml:space="preserve"> facility subject to a CIAC will be equivalent to the depreciation rate calculated above, i.e., 100% ÷ deprecation rate = life</t>
  </si>
  <si>
    <t>[A]</t>
  </si>
  <si>
    <t>[B]</t>
  </si>
  <si>
    <t>[C]</t>
  </si>
  <si>
    <t>[D]</t>
  </si>
  <si>
    <t>FERC Quarterly Interest Rate</t>
  </si>
  <si>
    <t>Rate for Refunds (column A)</t>
  </si>
  <si>
    <t>(1) The FERC Quarterly Interest Rate in column [A] is the interest applicable to the quarter indicated.</t>
  </si>
  <si>
    <t xml:space="preserve">Average of lines 1-7 above </t>
  </si>
  <si>
    <t>(2) The Short Term Debt Rate in column [B] is the weighted average Short Term Debt cost applicable to the quarter indicated.</t>
  </si>
  <si>
    <t>Short Term Debt Rate</t>
  </si>
  <si>
    <t>(3) The Rate for Surcharges is the lesser of Column A or B if short term debt is issued in the quarter and Column A if there is no short term debt issued in a quarter</t>
  </si>
  <si>
    <t>Competitive Bid Concession</t>
  </si>
  <si>
    <t>(Line 2 minus line 9)</t>
  </si>
  <si>
    <t>(Line 4 minus line 11)</t>
  </si>
  <si>
    <t>(Line 33 times Line 46)</t>
  </si>
  <si>
    <t>(Sum of Lines 48-50)</t>
  </si>
  <si>
    <t>Amount for Attachment 4</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</si>
  <si>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</si>
  <si>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</si>
  <si>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4th Qtr.</t>
  </si>
  <si>
    <t>Attachment 3, line 4, Col. J</t>
  </si>
  <si>
    <t>Attachment 5, line 39, col e</t>
  </si>
  <si>
    <t>Attachment H, Footnote B</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</si>
  <si>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</si>
  <si>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</si>
  <si>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Attachment 4a - Accumulated Deferred Income Taxes</t>
  </si>
  <si>
    <t>(Attachment 5, line 48    Notes Q &amp; R)</t>
  </si>
  <si>
    <t>(Attachment 5, line 49   Notes Q &amp; R)</t>
  </si>
  <si>
    <t>(Attachment 5, line 50  Notes K, Q &amp; R)</t>
  </si>
  <si>
    <t>(Attachment 5, line 51)</t>
  </si>
  <si>
    <t xml:space="preserve">Attach 5, line 39, col (a) </t>
  </si>
  <si>
    <t xml:space="preserve">(Note M) Attach 5, line 39, col (b) </t>
  </si>
  <si>
    <t xml:space="preserve">Attach 5, line 39, col (c) </t>
  </si>
  <si>
    <t xml:space="preserve">Attach 5, line 39, col (d)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</si>
  <si>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</si>
  <si>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</si>
  <si>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</si>
  <si>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</si>
  <si>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</si>
  <si>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</si>
  <si>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</si>
  <si>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</si>
  <si>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Rate for Surcharges (Note A (3))</t>
  </si>
  <si>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</si>
  <si>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These depreciation rates will not change absent the appropriate filing at FERC.</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</si>
  <si>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</si>
  <si>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</si>
  <si>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</si>
  <si>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The source of the amounts from the Actuary Study supporting the numbers in Line 2 and 3 is -</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</si>
  <si>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</si>
  <si>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</si>
  <si>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Y</t>
  </si>
  <si>
    <t>Attachment 4, Line 31, Col. (h)  (Note Y)</t>
  </si>
  <si>
    <t>(line 4 * line 5)</t>
  </si>
  <si>
    <t>In the event there is a construction loan, line 42 will also include the interest and line 48 will also include the outstanding amounts associated with any short term construction financing, prior to the issuance of long term debt.</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</si>
  <si>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</si>
  <si>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Long Term Interest (117, sum of 62.c through 67.c, Note A)</t>
  </si>
  <si>
    <t>Long Term Debt balance will reflect the 13 month average of the balances, of which the 1st and 13th are found on page 112 lines 18.c &amp; d to 21.c &amp; d in the Form No. 1.  The cost is calculated by dividing line 42 by the Long Term Debt balance in line 48.</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</si>
  <si>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</si>
  <si>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r>
      <t>NextEra Energy Transmission MidAtlantic Indiana, Inc</t>
    </r>
    <r>
      <rPr>
        <sz val="10"/>
        <color rgb="FFFF0000"/>
        <rFont val="Times New Roman"/>
        <family val="1"/>
      </rPr>
      <t>.</t>
    </r>
  </si>
  <si>
    <t>NextEra Energy Transmission MidAtlantic Indiana, Inc.</t>
  </si>
  <si>
    <t>Lake County and Porter County, Indiana Assets</t>
  </si>
  <si>
    <t xml:space="preserve">Less non Prorated Items </t>
  </si>
  <si>
    <t>For  the 12 months ended 12/31/2022</t>
  </si>
  <si>
    <t>Projected 2022</t>
  </si>
  <si>
    <t>Year Ended December 31, 2022</t>
  </si>
  <si>
    <t>Line 17, Col H + (Lines 20 + 23)/2</t>
  </si>
  <si>
    <t xml:space="preserve"> Line 44, Col H + (Lines 47 + 50)/2</t>
  </si>
  <si>
    <t>Line 71, Col H + (Lines 74 + 77)/2</t>
  </si>
  <si>
    <t>Line 98, Col H + (Lines 101 + 104)/2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</si>
</sst>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_(* #,##0.0_);_(* \(#,##0.0\);_(* &quot;-&quot;??_);_(@_)"/>
    <numFmt numFmtId="180" formatCode="#,##0.0_);\(#,##0.0\)"/>
    <numFmt numFmtId="181" formatCode="&quot;$&quot;#,##0.000_);\(&quot;$&quot;#,##0.000\)"/>
    <numFmt numFmtId="182" formatCode="&quot;$&quot;#,##0.0_);\(&quot;$&quot;#,##0.0\)"/>
    <numFmt numFmtId="183" formatCode="#,##0.000_);\(#,##0.000\)"/>
    <numFmt numFmtId="184" formatCode="_(* #,##0.0000_);_(* \(#,##0.0000\);_(* &quot;-&quot;??_);_(@_)"/>
    <numFmt numFmtId="185" formatCode="_(* #,##0.00000_);_(* \(#,##0.00000\);_(* &quot;-&quot;??_);_(@_)"/>
    <numFmt numFmtId="186" formatCode="_(* #,##0.0\¢_m;[Red]_(* \-#,##0.0\¢_m;[Green]_(* 0.0\¢_m;_(@_)_%"/>
    <numFmt numFmtId="187" formatCode="_(* #,##0.00\¢_m;[Red]_(* \-#,##0.00\¢_m;[Green]_(* 0.00\¢_m;_(@_)_%"/>
    <numFmt numFmtId="188" formatCode="_(* #,##0.000\¢_m;[Red]_(* \-#,##0.000\¢_m;[Green]_(* 0.000\¢_m;_(@_)_%"/>
    <numFmt numFmtId="189" formatCode="_(_(\£* #,##0_)_%;[Red]_(\(\£* #,##0\)_%;[Green]_(_(\£* #,##0_)_%;_(@_)_%"/>
    <numFmt numFmtId="190" formatCode="_(_(\£* #,##0.0_)_%;[Red]_(\(\£* #,##0.0\)_%;[Green]_(_(\£* #,##0.0_)_%;_(@_)_%"/>
    <numFmt numFmtId="191" formatCode="_(_(\£* #,##0.00_)_%;[Red]_(\(\£* #,##0.00\)_%;[Green]_(_(\£* #,##0.00_)_%;_(@_)_%"/>
    <numFmt numFmtId="192" formatCode="0.0%_);\(0.0%\)"/>
    <numFmt numFmtId="193" formatCode="\•\ \ @"/>
    <numFmt numFmtId="194" formatCode="_(_(\•_ #0_)_%;[Red]_(_(\•_ \-#0\)_%;[Green]_(_(\•_ #0_)_%;_(_(\•_ @_)_%"/>
    <numFmt numFmtId="195" formatCode="_(_(_•_ \•_ #0_)_%;[Red]_(_(_•_ \•_ \-#0\)_%;[Green]_(_(_•_ \•_ #0_)_%;_(_(_•_ \•_ @_)_%"/>
    <numFmt numFmtId="196" formatCode="_(_(_•_ _•_ \•_ #0_)_%;[Red]_(_(_•_ _•_ \•_ \-#0\)_%;[Green]_(_(_•_ _•_ \•_ #0_)_%;_(_(_•_ \•_ @_)_%"/>
    <numFmt numFmtId="197" formatCode="#,##0,_);\(#,##0,\)"/>
    <numFmt numFmtId="198" formatCode="0.0,_);\(0.0,\)"/>
    <numFmt numFmtId="199" formatCode="0.00,_);\(0.00,\)"/>
    <numFmt numFmtId="200" formatCode="_(_(_$* #,##0.0_)_%;[Red]_(\(_$* #,##0.0\)_%;[Green]_(_(_$* #,##0.0_)_%;_(@_)_%"/>
    <numFmt numFmtId="201" formatCode="_(_(_$* #,##0.00_)_%;[Red]_(\(_$* #,##0.00\)_%;[Green]_(_(_$* #,##0.00_)_%;_(@_)_%"/>
    <numFmt numFmtId="202" formatCode="_(_(_$* #,##0.000_)_%;[Red]_(\(_$* #,##0.000\)_%;[Green]_(_(_$* #,##0.000_)_%;_(@_)_%"/>
    <numFmt numFmtId="203" formatCode="_._.* #,##0.0_)_%;_._.* \(#,##0.0\)_%;_._.* \ ?_)_%"/>
    <numFmt numFmtId="204" formatCode="_._.* #,##0.00_)_%;_._.* \(#,##0.00\)_%;_._.* \ ?_)_%"/>
    <numFmt numFmtId="205" formatCode="_._.* #,##0.000_)_%;_._.* \(#,##0.000\)_%;_._.* \ ?_)_%"/>
    <numFmt numFmtId="206" formatCode="_._.* #,##0.0000_)_%;_._.* \(#,##0.0000\)_%;_._.* \ ?_)_%"/>
    <numFmt numFmtId="207" formatCode="_(_(&quot;$&quot;* #,##0.0_)_%;[Red]_(\(&quot;$&quot;* #,##0.0\)_%;[Green]_(_(&quot;$&quot;* #,##0.0_)_%;_(@_)_%"/>
    <numFmt numFmtId="208" formatCode="_(_(&quot;$&quot;* #,##0.00_)_%;[Red]_(\(&quot;$&quot;* #,##0.00\)_%;[Green]_(_(&quot;$&quot;* #,##0.00_)_%;_(@_)_%"/>
    <numFmt numFmtId="209" formatCode="_(_(&quot;$&quot;* #,##0.000_)_%;[Red]_(\(&quot;$&quot;* #,##0.000\)_%;[Green]_(_(&quot;$&quot;* #,##0.000_)_%;_(@_)_%"/>
    <numFmt numFmtId="210" formatCode="_._.&quot;$&quot;* #,##0.0_)_%;_._.&quot;$&quot;* \(#,##0.0\)_%;_._.&quot;$&quot;* \ ?_)_%"/>
    <numFmt numFmtId="211" formatCode="_._.&quot;$&quot;* #,##0.00_)_%;_._.&quot;$&quot;* \(#,##0.00\)_%;_._.&quot;$&quot;* \ ?_)_%"/>
    <numFmt numFmtId="212" formatCode="_._.&quot;$&quot;* #,##0.000_)_%;_._.&quot;$&quot;* \(#,##0.000\)_%;_._.&quot;$&quot;* \ ?_)_%"/>
    <numFmt numFmtId="213" formatCode="_._.&quot;$&quot;* #,##0.0000_)_%;_._.&quot;$&quot;* \(#,##0.0000\)_%;_._.&quot;$&quot;* \ ?_)_%"/>
    <numFmt numFmtId="214" formatCode="&quot;$&quot;#,##0,_);\(&quot;$&quot;#,##0,\)"/>
    <numFmt numFmtId="215" formatCode="&quot;$&quot;0.0,_);\(&quot;$&quot;0.0,\)"/>
    <numFmt numFmtId="216" formatCode="&quot;$&quot;0.00,_);\(&quot;$&quot;0.00,\)"/>
    <numFmt numFmtId="217" formatCode="_(* dd\-mmm\-yy_)_%"/>
    <numFmt numFmtId="218" formatCode="_(* dd\ mmmm\ yyyy_)_%"/>
    <numFmt numFmtId="219" formatCode="_(* mmmm\ dd\,\ yyyy_)_%"/>
    <numFmt numFmtId="220" formatCode="_(* dd\.mm\.yyyy_)_%"/>
    <numFmt numFmtId="221" formatCode="_(* mm/dd/yyyy_)_%"/>
    <numFmt numFmtId="222" formatCode="m/d/yy;@"/>
    <numFmt numFmtId="223" formatCode="#,##0.0\x_);\(#,##0.0\x\)"/>
    <numFmt numFmtId="224" formatCode="#,##0.00\x_);\(#,##0.00\x\)"/>
    <numFmt numFmtId="225" formatCode="[$€-2]\ #,##0_);\([$€-2]\ #,##0\)"/>
    <numFmt numFmtId="226" formatCode="[$€-2]\ #,##0.0_);\([$€-2]\ #,##0.0\)"/>
    <numFmt numFmtId="227" formatCode="_([$€-2]* #,##0.00_);_([$€-2]* \(#,##0.00\);_([$€-2]* &quot;-&quot;??_)"/>
    <numFmt numFmtId="228" formatCode="General_)_%"/>
    <numFmt numFmtId="229" formatCode="_(_(#0_)_%;[Red]_(_(\-#0\)_%;[Green]_(_(#0_)_%;_(_(@_)_%"/>
    <numFmt numFmtId="230" formatCode="_(_(_•_ #0_)_%;[Red]_(_(_•_ \-#0\)_%;[Green]_(_(_•_ #0_)_%;_(_(_•_ @_)_%"/>
    <numFmt numFmtId="231" formatCode="_(_(_•_ _•_ #0_)_%;[Red]_(_(_•_ _•_ \-#0\)_%;[Green]_(_(_•_ _•_ #0_)_%;_(_(_•_ _•_ @_)_%"/>
    <numFmt numFmtId="232" formatCode="_(_(_•_ _•_ _•_ #0_)_%;[Red]_(_(_•_ _•_ _•_ \-#0\)_%;[Green]_(_(_•_ _•_ _•_ #0_)_%;_(_(_•_ _•_ _•_ @_)_%"/>
    <numFmt numFmtId="233" formatCode="#,##0\x;\(#,##0\x\)"/>
    <numFmt numFmtId="234" formatCode="0.0\x;\(0.0\x\)"/>
    <numFmt numFmtId="235" formatCode="#,##0.00\x;\(#,##0.00\x\)"/>
    <numFmt numFmtId="236" formatCode="#,##0.000\x;\(#,##0.000\x\)"/>
    <numFmt numFmtId="237" formatCode="0.0_);\(0.0\)"/>
    <numFmt numFmtId="238" formatCode="0%;\(0%\)"/>
    <numFmt numFmtId="239" formatCode="0.00\ \x_);\(0.00\ \x\)"/>
    <numFmt numFmtId="240" formatCode="_(* #,##0_);_(* \(#,##0\);_(* &quot;-&quot;????_);_(@_)"/>
    <numFmt numFmtId="241" formatCode="0__"/>
    <numFmt numFmtId="242" formatCode="h:mmAM/PM"/>
    <numFmt numFmtId="243" formatCode="0&quot; E&quot;"/>
    <numFmt numFmtId="244" formatCode="yyyy"/>
    <numFmt numFmtId="245" formatCode="0.0%;\(0.0%\)"/>
    <numFmt numFmtId="246" formatCode="0.00%_);\(0.00%\)"/>
    <numFmt numFmtId="247" formatCode="0.000%_);\(0.000%\)"/>
    <numFmt numFmtId="248" formatCode="_(0_)%;\(0\)%;\ \ ?_)%"/>
    <numFmt numFmtId="249" formatCode="_._._(* 0_)%;_._.* \(0\)%;_._._(* \ ?_)%"/>
    <numFmt numFmtId="250" formatCode="0%_);\(0%\)"/>
    <numFmt numFmtId="251" formatCode="_(* #,##0_)_%;[Red]_(* \(#,##0\)_%;[Green]_(* 0_)_%;_(@_)_%"/>
    <numFmt numFmtId="252" formatCode="_(* #,##0.0%_);[Red]_(* \-#,##0.0%_);[Green]_(* 0.0%_);_(@_)_%"/>
    <numFmt numFmtId="253" formatCode="_(* #,##0.00%_);[Red]_(* \-#,##0.00%_);[Green]_(* 0.00%_);_(@_)_%"/>
    <numFmt numFmtId="254" formatCode="_(* #,##0.000%_);[Red]_(* \-#,##0.000%_);[Green]_(* 0.000%_);_(@_)_%"/>
    <numFmt numFmtId="255" formatCode="_(0.0_)%;\(0.0\)%;\ \ ?_)%"/>
    <numFmt numFmtId="256" formatCode="_._._(* 0.0_)%;_._.* \(0.0\)%;_._._(* \ ?_)%"/>
    <numFmt numFmtId="257" formatCode="_(0.00_)%;\(0.00\)%;\ \ ?_)%"/>
    <numFmt numFmtId="258" formatCode="_._._(* 0.00_)%;_._.* \(0.00\)%;_._._(* \ ?_)%"/>
    <numFmt numFmtId="259" formatCode="_(0.000_)%;\(0.000\)%;\ \ ?_)%"/>
    <numFmt numFmtId="260" formatCode="_._._(* 0.000_)%;_._.* \(0.000\)%;_._._(* \ ?_)%"/>
    <numFmt numFmtId="261" formatCode="_(0.0000_)%;\(0.0000\)%;\ \ ?_)%"/>
    <numFmt numFmtId="262" formatCode="_._._(* 0.0000_)%;_._.* \(0.0000\)%;_._._(* \ ?_)%"/>
    <numFmt numFmtId="263" formatCode="mmmm\ dd\,\ yy"/>
    <numFmt numFmtId="264" formatCode="0.0\x"/>
    <numFmt numFmtId="265" formatCode="_(* #,##0_);_(* \(#,##0\);_(* \ ?_)"/>
    <numFmt numFmtId="266" formatCode="_(* #,##0.0_);_(* \(#,##0.0\);_(* \ ?_)"/>
    <numFmt numFmtId="267" formatCode="_(* #,##0.00_);_(* \(#,##0.00\);_(* \ ?_)"/>
    <numFmt numFmtId="268" formatCode="_(* #,##0.000_);_(* \(#,##0.000\);_(* \ ?_)"/>
    <numFmt numFmtId="269" formatCode="_(&quot;$&quot;* #,##0_);_(&quot;$&quot;* \(#,##0\);_(&quot;$&quot;* \ ?_)"/>
    <numFmt numFmtId="270" formatCode="_(&quot;$&quot;* #,##0.0_);_(&quot;$&quot;* \(#,##0.0\);_(&quot;$&quot;* \ ?_)"/>
    <numFmt numFmtId="271" formatCode="_(&quot;$&quot;* #,##0.00_);_(&quot;$&quot;* \(#,##0.00\);_(&quot;$&quot;* \ ?_)"/>
    <numFmt numFmtId="272" formatCode="_(&quot;$&quot;* #,##0.000_);_(&quot;$&quot;* \(#,##0.000\);_(&quot;$&quot;* \ ?_)"/>
    <numFmt numFmtId="273" formatCode="0000&quot;A&quot;"/>
    <numFmt numFmtId="274" formatCode="0&quot;E&quot;"/>
    <numFmt numFmtId="275" formatCode="0000&quot;E&quot;"/>
    <numFmt numFmtId="276" formatCode="_(* #,##0.000000_);_(* \(#,##0.000000\);_(* &quot;-&quot;??_);_(@_)"/>
    <numFmt numFmtId="277" formatCode="_(* #,##0.0000000_);_(* \(#,##0.0000000\);_(* &quot;-&quot;??_);_(@_)"/>
    <numFmt numFmtId="278" formatCode="_(* #,##0.00000_);_(* \(#,##0.00000\);_(* &quot;-&quot;?????_);_(@_)"/>
    <numFmt numFmtId="279" formatCode="0.0000%"/>
    <numFmt numFmtId="280" formatCode="_(* #,##0.000_);_(* \(#,##0.000\);_(* &quot;-&quot;??_);_(@_)"/>
    <numFmt numFmtId="281" formatCode="###,000"/>
    <numFmt numFmtId="282" formatCode="_(&quot;$&quot;* #,##0.0000_);_(&quot;$&quot;* \(#,##0.0000\);_(&quot;$&quot;* &quot;-&quot;????_);_(@_)"/>
  </numFmts>
  <fonts count="135">
    <font>
      <sz val="12"/>
      <name val="Arial MT"/>
      <family val="2"/>
    </font>
    <font>
      <sz val="10"/>
      <color theme="1"/>
      <name val="Arial"/>
      <family val="2"/>
    </font>
    <font>
      <sz val="11"/>
      <color theme="1"/>
      <name val="Calibri"/>
      <family val="2"/>
      <scheme val="minor"/>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b/>
      <sz val="10"/>
      <color indexed="12"/>
      <name val="Arial"/>
      <family val="2"/>
    </font>
    <font>
      <sz val="11"/>
      <name val="Times New Roman"/>
      <family val="1"/>
    </font>
    <font>
      <b/>
      <i/>
      <sz val="12"/>
      <name val="Times New Roman"/>
      <family val="1"/>
    </font>
    <font>
      <sz val="10"/>
      <name val="C Helvetica Condensed"/>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amily val="2"/>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amily val="2"/>
    </font>
    <font>
      <sz val="10"/>
      <color indexed="42"/>
      <name val="Arial"/>
      <family val="2"/>
    </font>
    <font>
      <sz val="10"/>
      <color indexed="46"/>
      <name val="Arial"/>
      <family val="2"/>
    </font>
    <font>
      <b/>
      <sz val="10"/>
      <color indexed="22"/>
      <name val="Arial"/>
      <family val="2"/>
    </font>
    <font>
      <u val="single"/>
      <sz val="10"/>
      <color indexed="12"/>
      <name val="Arial"/>
      <family val="2"/>
    </font>
    <font>
      <sz val="10"/>
      <color indexed="12"/>
      <name val="Book Antiqua"/>
      <family val="1"/>
    </font>
    <font>
      <i/>
      <sz val="16"/>
      <name val="Times New Roman"/>
      <family val="1"/>
    </font>
    <font>
      <sz val="7"/>
      <name val="Small Fonts"/>
      <family val="2"/>
    </font>
    <font>
      <u val="single"/>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val="single"/>
      <sz val="10"/>
      <name val="Times New Roman"/>
      <family val="1"/>
    </font>
    <font>
      <vertAlign val="superscript"/>
      <sz val="10"/>
      <name val="Times New Roman"/>
      <family val="1"/>
    </font>
    <font>
      <strike/>
      <sz val="10"/>
      <color indexed="12"/>
      <name val="Times New Roman"/>
      <family val="1"/>
    </font>
    <font>
      <b/>
      <i/>
      <strike/>
      <sz val="10"/>
      <name val="Times New Roman"/>
      <family val="1"/>
    </font>
    <font>
      <strike/>
      <sz val="10"/>
      <color indexed="10"/>
      <name val="Times New Roman"/>
      <family val="1"/>
    </font>
    <font>
      <u val="single"/>
      <sz val="12"/>
      <name val="Arial"/>
      <family val="2"/>
    </font>
    <font>
      <b/>
      <u val="single"/>
      <sz val="10"/>
      <name val="Arial"/>
      <family val="2"/>
    </font>
    <font>
      <sz val="12"/>
      <color indexed="10"/>
      <name val="Arial MT"/>
      <family val="2"/>
    </font>
    <font>
      <sz val="11"/>
      <name val="Calibri"/>
      <family val="2"/>
    </font>
    <font>
      <sz val="9"/>
      <name val="Helv"/>
      <family val="2"/>
    </font>
    <font>
      <sz val="10"/>
      <name val="Arial Narrow"/>
      <family val="2"/>
    </font>
    <font>
      <vertAlign val="superscript"/>
      <sz val="10"/>
      <color theme="1"/>
      <name val="Times New Roman"/>
      <family val="1"/>
    </font>
    <font>
      <sz val="12"/>
      <name val="Arial Narrow"/>
      <family val="2"/>
    </font>
    <font>
      <sz val="12"/>
      <color indexed="8"/>
      <name val="Arial Narrow"/>
      <family val="2"/>
    </font>
    <font>
      <b/>
      <sz val="12"/>
      <name val="Arial Narrow"/>
      <family val="2"/>
    </font>
    <font>
      <b/>
      <sz val="12"/>
      <color indexed="8"/>
      <name val="Arial Narrow"/>
      <family val="2"/>
    </font>
    <font>
      <b/>
      <sz val="12"/>
      <name val="Times New Roman"/>
      <family val="1"/>
    </font>
    <font>
      <sz val="11"/>
      <color indexed="8"/>
      <name val="Arial Narrow"/>
      <family val="2"/>
    </font>
    <font>
      <sz val="10"/>
      <color rgb="FF0000FF"/>
      <name val="Arial"/>
      <family val="2"/>
    </font>
    <font>
      <sz val="11"/>
      <color indexed="8"/>
      <name val="Arial"/>
      <family val="2"/>
    </font>
    <font>
      <sz val="14"/>
      <name val="Arial Narrow"/>
      <family val="2"/>
    </font>
    <font>
      <sz val="14"/>
      <color indexed="8"/>
      <name val="Arial Narrow"/>
      <family val="2"/>
    </font>
    <font>
      <sz val="14"/>
      <name val="Arial"/>
      <family val="2"/>
    </font>
    <font>
      <sz val="14"/>
      <name val="Times New Roman"/>
      <family val="1"/>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font>
    <font>
      <sz val="11"/>
      <color indexed="10"/>
      <name val="Calibri"/>
      <family val="2"/>
      <scheme val="minor"/>
    </font>
    <font>
      <sz val="10"/>
      <color rgb="FFFF000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2"/>
      <color rgb="FFFF000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9"/>
      <color theme="1"/>
      <name val="Arial"/>
      <family val="2"/>
    </font>
    <font>
      <sz val="10"/>
      <color theme="1"/>
      <name val="Calibri"/>
      <family val="2"/>
    </font>
  </fonts>
  <fills count="66">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64"/>
      </patternFill>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1F5FB"/>
        <bgColor indexed="64"/>
      </patternFill>
    </fill>
    <fill>
      <patternFill patternType="solid">
        <fgColor rgb="FFE9EFF7"/>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00FF"/>
        <bgColor indexed="64"/>
      </patternFill>
    </fill>
  </fills>
  <borders count="37">
    <border>
      <left/>
      <right/>
      <top/>
      <bottom/>
      <diagonal/>
    </border>
    <border>
      <left/>
      <right/>
      <top/>
      <bottom style="thin">
        <color auto="1"/>
      </bottom>
    </border>
    <border>
      <left/>
      <right/>
      <top style="double">
        <color auto="1"/>
      </top>
      <bottom/>
    </border>
    <border>
      <left/>
      <right/>
      <top style="thin">
        <color auto="1"/>
      </top>
      <bottom/>
    </border>
    <border>
      <left style="medium">
        <color auto="1"/>
      </left>
      <right style="medium">
        <color auto="1"/>
      </right>
      <top style="medium">
        <color auto="1"/>
      </top>
      <bottom style="medium">
        <color auto="1"/>
      </bottom>
    </border>
    <border>
      <left/>
      <right/>
      <top/>
      <bottom style="hair">
        <color auto="1"/>
      </bottom>
    </border>
    <border>
      <left/>
      <right/>
      <top style="medium">
        <color auto="1"/>
      </top>
      <bottom style="medium">
        <color auto="1"/>
      </bottom>
    </border>
    <border>
      <left/>
      <right/>
      <top style="thin">
        <color auto="1"/>
      </top>
      <bottom style="thin">
        <color auto="1"/>
      </bottom>
    </border>
    <border>
      <left/>
      <right/>
      <top/>
      <bottom style="medium">
        <color auto="1"/>
      </bottom>
    </border>
    <border>
      <left style="thin">
        <color auto="1"/>
      </left>
      <right style="thin">
        <color auto="1"/>
      </right>
      <top style="thin">
        <color auto="1"/>
      </top>
      <bottom style="thin">
        <color auto="1"/>
      </bottom>
    </border>
    <border>
      <left style="thin">
        <color auto="1"/>
      </left>
      <right/>
      <top/>
      <bottom/>
    </border>
    <border>
      <left style="thin">
        <color auto="1"/>
      </left>
      <right style="thin">
        <color auto="1"/>
      </right>
      <top/>
      <bottom/>
    </border>
    <border>
      <left/>
      <right style="thin">
        <color auto="1"/>
      </right>
      <top/>
      <bottom/>
    </border>
    <border>
      <left/>
      <right/>
      <top/>
      <bottom style="hair">
        <color indexed="2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3" tint="-0.24994"/>
      </left>
      <right style="thin">
        <color theme="3" tint="-0.24994"/>
      </right>
      <top style="thin">
        <color theme="3" tint="-0.24994"/>
      </top>
      <bottom style="thin">
        <color theme="3" tint="-0.24994"/>
      </bottom>
    </border>
    <border>
      <left style="thin">
        <color theme="3" tint="0.59996"/>
      </left>
      <right style="thin">
        <color theme="3" tint="0.59996"/>
      </right>
      <top style="thin">
        <color theme="3" tint="0.59996"/>
      </top>
      <bottom style="thin">
        <color theme="3" tint="0.59996"/>
      </bottom>
    </border>
    <border>
      <left style="thin">
        <color rgb="FF808080"/>
      </left>
      <right style="thin">
        <color rgb="FF808080"/>
      </right>
      <top style="thin">
        <color rgb="FF808080"/>
      </top>
      <bottom style="thin">
        <color rgb="FF808080"/>
      </bottom>
    </border>
    <border>
      <left style="hair">
        <color rgb="FFC0C0C0"/>
      </left>
      <right style="hair">
        <color rgb="FFC0C0C0"/>
      </right>
      <top style="thin">
        <color rgb="FF808080"/>
      </top>
      <bottom style="thin">
        <color rgb="FF808080"/>
      </bottom>
    </border>
    <border>
      <left style="medium">
        <color rgb="FFFF0000"/>
      </left>
      <right style="medium">
        <color rgb="FFFF0000"/>
      </right>
      <top style="medium">
        <color rgb="FFFF0000"/>
      </top>
      <bottom style="medium">
        <color rgb="FFFF0000"/>
      </bottom>
    </border>
    <border>
      <left style="thin">
        <color rgb="FF000000"/>
      </left>
      <right style="thin">
        <color rgb="FF000000"/>
      </right>
      <top style="thin">
        <color rgb="FF000000"/>
      </top>
      <bottom style="thin">
        <color rgb="FF000000"/>
      </bottom>
    </border>
    <border>
      <left/>
      <right/>
      <top style="thin">
        <color auto="1"/>
      </top>
      <bottom style="double">
        <color auto="1"/>
      </bottom>
    </border>
    <border>
      <left style="thin">
        <color auto="1"/>
      </left>
      <right style="thin">
        <color auto="1"/>
      </right>
      <top/>
      <bottom style="thin">
        <color auto="1"/>
      </bottom>
    </border>
    <border>
      <left style="thin">
        <color auto="1"/>
      </left>
      <right/>
      <top style="thin">
        <color auto="1"/>
      </top>
      <bottom style="thin">
        <color auto="1"/>
      </bottom>
    </border>
    <border>
      <left style="thin">
        <color auto="1"/>
      </left>
      <right/>
      <top/>
      <bottom style="thin">
        <color auto="1"/>
      </bottom>
    </border>
    <border>
      <left/>
      <right/>
      <top/>
      <bottom style="double">
        <color auto="1"/>
      </bottom>
    </border>
    <border>
      <left style="thin">
        <color auto="1"/>
      </left>
      <right style="thin">
        <color auto="1"/>
      </right>
      <top style="thin">
        <color auto="1"/>
      </top>
      <bottom/>
    </border>
    <border>
      <left style="medium">
        <color auto="1"/>
      </left>
      <right/>
      <top/>
      <bottom/>
    </border>
    <border>
      <left style="thin">
        <color auto="1"/>
      </left>
      <right/>
      <top style="thin">
        <color auto="1"/>
      </top>
      <bottom/>
    </border>
    <border>
      <left/>
      <right style="thin">
        <color auto="1"/>
      </right>
      <top style="thin">
        <color auto="1"/>
      </top>
      <bottom/>
    </border>
    <border>
      <left/>
      <right style="thin">
        <color auto="1"/>
      </right>
      <top/>
      <bottom style="thin">
        <color auto="1"/>
      </bottom>
    </border>
    <border>
      <left/>
      <right style="thin">
        <color auto="1"/>
      </right>
      <top style="thin">
        <color auto="1"/>
      </top>
      <bottom style="thin">
        <color auto="1"/>
      </bottom>
    </border>
  </borders>
  <cellStyleXfs count="555">
    <xf numFmtId="174"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2" fontId="1" fillId="0" borderId="0" applyFont="0" applyFill="0" applyBorder="0" applyAlignment="0" applyProtection="0"/>
    <xf numFmtId="43" fontId="6" fillId="0" borderId="0" applyFont="0" applyFill="0" applyBorder="0" applyAlignment="0" applyProtection="0"/>
    <xf numFmtId="41" fontId="1" fillId="0" borderId="0" applyFont="0" applyFill="0" applyBorder="0" applyAlignment="0" applyProtection="0"/>
    <xf numFmtId="0" fontId="6" fillId="0" borderId="0">
      <alignment/>
      <protection/>
    </xf>
    <xf numFmtId="186"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0" fontId="14" fillId="0" borderId="0">
      <alignment/>
      <protection/>
    </xf>
    <xf numFmtId="0" fontId="6" fillId="2" borderId="0" applyNumberFormat="0" applyFill="0" applyBorder="0" applyProtection="0">
      <alignment/>
    </xf>
    <xf numFmtId="0" fontId="35" fillId="0" borderId="0" applyNumberFormat="0" applyFill="0" applyBorder="0" applyAlignment="0" applyProtection="0"/>
    <xf numFmtId="0" fontId="6" fillId="0" borderId="1" applyNumberFormat="0" applyFont="0" applyFill="0" applyAlignment="0" applyProtection="0"/>
    <xf numFmtId="193" fontId="33" fillId="0" borderId="0" applyFont="0" applyFill="0" applyBorder="0" applyAlignment="0" applyProtection="0"/>
    <xf numFmtId="194" fontId="40" fillId="0" borderId="0" applyFont="0" applyFill="0" applyBorder="0" applyProtection="0">
      <alignment horizontal="left"/>
    </xf>
    <xf numFmtId="195" fontId="40" fillId="0" borderId="0" applyFont="0" applyFill="0" applyBorder="0" applyProtection="0">
      <alignment horizontal="left"/>
    </xf>
    <xf numFmtId="196" fontId="40" fillId="0" borderId="0" applyFont="0" applyFill="0" applyBorder="0" applyProtection="0">
      <alignment horizontal="left"/>
    </xf>
    <xf numFmtId="37" fontId="41" fillId="0" borderId="0" applyFont="0" applyFill="0" applyBorder="0">
      <alignment/>
      <protection locked="0"/>
    </xf>
    <xf numFmtId="197" fontId="42" fillId="0" borderId="0" applyFont="0" applyFill="0" applyBorder="0" applyAlignment="0" applyProtection="0"/>
    <xf numFmtId="0" fontId="43" fillId="0" borderId="0">
      <alignment/>
      <protection/>
    </xf>
    <xf numFmtId="0" fontId="43" fillId="0" borderId="0">
      <alignment/>
      <protection/>
    </xf>
    <xf numFmtId="174" fontId="4" fillId="0" borderId="0" applyFill="0">
      <alignment/>
      <protection/>
    </xf>
    <xf numFmtId="174" fontId="4" fillId="0" borderId="0">
      <alignment horizontal="center"/>
      <protection/>
    </xf>
    <xf numFmtId="0" fontId="4" fillId="0" borderId="0" applyFill="0">
      <alignment horizontal="center"/>
      <protection/>
    </xf>
    <xf numFmtId="174" fontId="5" fillId="0" borderId="2" applyFill="0">
      <alignment/>
      <protection/>
    </xf>
    <xf numFmtId="0" fontId="6" fillId="0" borderId="0" applyFont="0" applyAlignment="0">
      <protection/>
    </xf>
    <xf numFmtId="0" fontId="7" fillId="0" borderId="0" applyFill="0">
      <alignment vertical="top"/>
      <protection/>
    </xf>
    <xf numFmtId="0" fontId="5" fillId="0" borderId="0" applyFill="0">
      <alignment horizontal="left" vertical="top"/>
      <protection/>
    </xf>
    <xf numFmtId="174" fontId="8" fillId="0" borderId="3" applyFill="0">
      <alignment/>
      <protection/>
    </xf>
    <xf numFmtId="0" fontId="6" fillId="0" borderId="0" applyNumberFormat="0" applyFont="0" applyAlignment="0">
      <protection/>
    </xf>
    <xf numFmtId="0" fontId="7" fillId="0" borderId="0" applyFill="0">
      <alignment wrapText="1"/>
      <protection/>
    </xf>
    <xf numFmtId="0" fontId="5" fillId="0" borderId="0" applyFill="0">
      <alignment horizontal="left" vertical="top" wrapText="1"/>
      <protection/>
    </xf>
    <xf numFmtId="174" fontId="9" fillId="0" borderId="0" applyFill="0">
      <alignment/>
      <protection/>
    </xf>
    <xf numFmtId="0" fontId="10" fillId="0" borderId="0" applyNumberFormat="0" applyFont="0">
      <alignment/>
      <protection/>
    </xf>
    <xf numFmtId="0" fontId="11" fillId="0" borderId="0" applyFill="0">
      <alignment vertical="top" wrapText="1"/>
      <protection/>
    </xf>
    <xf numFmtId="0" fontId="8" fillId="0" borderId="0" applyFill="0">
      <alignment horizontal="left" vertical="top" wrapText="1"/>
      <protection/>
    </xf>
    <xf numFmtId="174" fontId="6" fillId="0" borderId="0" applyFill="0">
      <alignment/>
      <protection/>
    </xf>
    <xf numFmtId="0" fontId="10" fillId="0" borderId="0" applyNumberFormat="0" applyFont="0">
      <alignment/>
      <protection/>
    </xf>
    <xf numFmtId="0" fontId="12" fillId="0" borderId="0" applyFill="0">
      <alignment vertical="center" wrapText="1"/>
      <protection/>
    </xf>
    <xf numFmtId="0" fontId="13" fillId="0" borderId="0">
      <alignment horizontal="left" vertical="center" wrapText="1"/>
      <protection/>
    </xf>
    <xf numFmtId="174" fontId="14" fillId="0" borderId="0" applyFill="0">
      <alignment/>
      <protection/>
    </xf>
    <xf numFmtId="0" fontId="10" fillId="0" borderId="0" applyNumberFormat="0" applyFont="0">
      <alignment/>
      <protection/>
    </xf>
    <xf numFmtId="0" fontId="15" fillId="0" borderId="0" applyFill="0">
      <alignment horizontal="center" vertical="center" wrapText="1"/>
      <protection/>
    </xf>
    <xf numFmtId="0" fontId="6" fillId="0" borderId="0" applyFill="0">
      <alignment horizontal="center" vertical="center" wrapText="1"/>
      <protection/>
    </xf>
    <xf numFmtId="0" fontId="6" fillId="0" borderId="0" applyFill="0">
      <alignment horizontal="center" vertical="center" wrapText="1"/>
      <protection/>
    </xf>
    <xf numFmtId="174" fontId="16" fillId="0" borderId="0" applyFill="0">
      <alignment/>
      <protection/>
    </xf>
    <xf numFmtId="0" fontId="10" fillId="0" borderId="0" applyNumberFormat="0" applyFont="0">
      <alignment/>
      <protection/>
    </xf>
    <xf numFmtId="0" fontId="17" fillId="0" borderId="0" applyFill="0">
      <alignment horizontal="center" vertical="center" wrapText="1"/>
      <protection/>
    </xf>
    <xf numFmtId="0" fontId="18" fillId="0" borderId="0" applyFill="0">
      <alignment horizontal="center" vertical="center" wrapText="1"/>
      <protection/>
    </xf>
    <xf numFmtId="174" fontId="19" fillId="0" borderId="0" applyFill="0">
      <alignment/>
      <protection/>
    </xf>
    <xf numFmtId="0" fontId="10" fillId="0" borderId="0" applyNumberFormat="0" applyFont="0">
      <alignment/>
      <protection/>
    </xf>
    <xf numFmtId="0" fontId="20" fillId="0" borderId="0">
      <alignment horizontal="center" wrapText="1"/>
      <protection/>
    </xf>
    <xf numFmtId="0" fontId="16" fillId="0" borderId="0" applyFill="0">
      <alignment horizontal="center" wrapText="1"/>
      <protection/>
    </xf>
    <xf numFmtId="180" fontId="44" fillId="0" borderId="0" applyFont="0" applyFill="0" applyBorder="0" applyAlignment="0">
      <protection locked="0"/>
    </xf>
    <xf numFmtId="198" fontId="44" fillId="0" borderId="0" applyFont="0" applyFill="0" applyBorder="0" applyAlignment="0">
      <protection locked="0"/>
    </xf>
    <xf numFmtId="39" fontId="6" fillId="0" borderId="0" applyFont="0" applyFill="0" applyBorder="0" applyAlignment="0" applyProtection="0"/>
    <xf numFmtId="199" fontId="45" fillId="0" borderId="0" applyFont="0" applyFill="0" applyBorder="0" applyAlignment="0" applyProtection="0"/>
    <xf numFmtId="183" fontId="42" fillId="0" borderId="0" applyFont="0" applyFill="0" applyBorder="0" applyAlignment="0" applyProtection="0"/>
    <xf numFmtId="0" fontId="6" fillId="0" borderId="1" applyNumberFormat="0" applyFont="0" applyFill="0" applyBorder="0" applyProtection="0">
      <alignment horizontal="centerContinuous" vertical="center"/>
    </xf>
    <xf numFmtId="0" fontId="27" fillId="0" borderId="0" applyFill="0" applyBorder="0">
      <alignment horizontal="center"/>
      <protection locked="0"/>
    </xf>
    <xf numFmtId="0" fontId="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41" fontId="6" fillId="0" borderId="0" applyFont="0" applyFill="0" applyBorder="0" applyAlignment="0" applyProtection="0"/>
    <xf numFmtId="200" fontId="40" fillId="0" borderId="0" applyFont="0" applyFill="0" applyBorder="0" applyAlignment="0" applyProtection="0"/>
    <xf numFmtId="201" fontId="40" fillId="0" borderId="0" applyFont="0" applyFill="0" applyBorder="0" applyAlignment="0" applyProtection="0"/>
    <xf numFmtId="202" fontId="40" fillId="0" borderId="0" applyFont="0" applyFill="0" applyBorder="0" applyAlignment="0" applyProtection="0"/>
    <xf numFmtId="203" fontId="38" fillId="0" borderId="0" applyFont="0" applyFill="0" applyBorder="0" applyAlignment="0" applyProtection="0"/>
    <xf numFmtId="204" fontId="47" fillId="0" borderId="0" applyFont="0" applyFill="0" applyBorder="0" applyAlignment="0" applyProtection="0"/>
    <xf numFmtId="205" fontId="47" fillId="0" borderId="0" applyFont="0" applyFill="0" applyBorder="0" applyAlignment="0" applyProtection="0"/>
    <xf numFmtId="206" fontId="9" fillId="0" borderId="0" applyFont="0" applyFill="0" applyBorder="0" applyAlignment="0">
      <protection locked="0"/>
    </xf>
    <xf numFmtId="43" fontId="3"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37" fontId="48" fillId="0" borderId="0" applyFill="0" applyBorder="0" applyAlignment="0" applyProtection="0"/>
    <xf numFmtId="3" fontId="6" fillId="0" borderId="0" applyFont="0" applyFill="0" applyBorder="0" applyAlignment="0" applyProtection="0"/>
    <xf numFmtId="0" fontId="5" fillId="0" borderId="0" applyFill="0" applyBorder="0" applyAlignment="0">
      <protection locked="0"/>
    </xf>
    <xf numFmtId="0" fontId="6" fillId="0" borderId="4">
      <alignment/>
      <protection/>
    </xf>
    <xf numFmtId="207" fontId="40" fillId="0" borderId="0" applyFont="0" applyFill="0" applyBorder="0" applyAlignment="0" applyProtection="0"/>
    <xf numFmtId="208" fontId="40" fillId="0" borderId="0" applyFont="0" applyFill="0" applyBorder="0" applyAlignment="0" applyProtection="0"/>
    <xf numFmtId="209" fontId="40" fillId="0" borderId="0" applyFont="0" applyFill="0" applyBorder="0" applyAlignment="0" applyProtection="0"/>
    <xf numFmtId="210" fontId="47" fillId="0" borderId="0" applyFont="0" applyFill="0" applyBorder="0" applyAlignment="0" applyProtection="0"/>
    <xf numFmtId="211" fontId="47" fillId="0" borderId="0" applyFont="0" applyFill="0" applyBorder="0" applyAlignment="0" applyProtection="0"/>
    <xf numFmtId="212" fontId="47" fillId="0" borderId="0" applyFont="0" applyFill="0" applyBorder="0" applyAlignment="0" applyProtection="0"/>
    <xf numFmtId="213" fontId="9" fillId="0" borderId="0" applyFont="0" applyFill="0" applyBorder="0" applyAlignment="0">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48" fillId="0" borderId="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14" fontId="42" fillId="0" borderId="0" applyFont="0" applyFill="0" applyBorder="0" applyAlignment="0" applyProtection="0"/>
    <xf numFmtId="182" fontId="6" fillId="0" borderId="0" applyFont="0" applyFill="0" applyBorder="0" applyAlignment="0" applyProtection="0"/>
    <xf numFmtId="215" fontId="44" fillId="0" borderId="0" applyFont="0" applyFill="0" applyBorder="0" applyAlignment="0">
      <protection locked="0"/>
    </xf>
    <xf numFmtId="7" fontId="4" fillId="0" borderId="0" applyFont="0" applyFill="0" applyBorder="0" applyAlignment="0" applyProtection="0"/>
    <xf numFmtId="216" fontId="45" fillId="0" borderId="0" applyFont="0" applyFill="0" applyBorder="0" applyAlignment="0" applyProtection="0"/>
    <xf numFmtId="181" fontId="49" fillId="0" borderId="0" applyFont="0" applyFill="0" applyBorder="0" applyAlignment="0" applyProtection="0"/>
    <xf numFmtId="0" fontId="50" fillId="3" borderId="5" applyNumberFormat="0" applyFont="0" applyFill="0" applyProtection="0">
      <alignment/>
    </xf>
    <xf numFmtId="14" fontId="6" fillId="0" borderId="0" applyFont="0" applyFill="0" applyBorder="0" applyAlignment="0" applyProtection="0"/>
    <xf numFmtId="217" fontId="40" fillId="0" borderId="0" applyFont="0" applyFill="0" applyBorder="0" applyProtection="0">
      <alignment/>
    </xf>
    <xf numFmtId="218" fontId="40" fillId="0" borderId="0" applyFont="0" applyFill="0" applyBorder="0" applyProtection="0">
      <alignment/>
    </xf>
    <xf numFmtId="219" fontId="40" fillId="0" borderId="0" applyFont="0" applyFill="0" applyBorder="0" applyAlignment="0" applyProtection="0"/>
    <xf numFmtId="220" fontId="40" fillId="0" borderId="0" applyFont="0" applyFill="0" applyBorder="0" applyAlignment="0" applyProtection="0"/>
    <xf numFmtId="221" fontId="40" fillId="0" borderId="0" applyFont="0" applyFill="0" applyBorder="0" applyAlignment="0" applyProtection="0"/>
    <xf numFmtId="222" fontId="51" fillId="0" borderId="0" applyFont="0" applyFill="0" applyBorder="0" applyAlignment="0" applyProtection="0"/>
    <xf numFmtId="5" fontId="52" fillId="0" borderId="0" applyBorder="0">
      <alignment/>
      <protection/>
    </xf>
    <xf numFmtId="182" fontId="52" fillId="0" borderId="0" applyBorder="0">
      <alignment/>
      <protection/>
    </xf>
    <xf numFmtId="7" fontId="52" fillId="0" borderId="0" applyBorder="0">
      <alignment/>
      <protection/>
    </xf>
    <xf numFmtId="37" fontId="52" fillId="0" borderId="0" applyBorder="0">
      <alignment/>
      <protection/>
    </xf>
    <xf numFmtId="180" fontId="52" fillId="0" borderId="0" applyBorder="0">
      <alignment/>
      <protection/>
    </xf>
    <xf numFmtId="223" fontId="52" fillId="0" borderId="0" applyBorder="0">
      <alignment/>
      <protection/>
    </xf>
    <xf numFmtId="39" fontId="52" fillId="0" borderId="0" applyBorder="0">
      <alignment/>
      <protection/>
    </xf>
    <xf numFmtId="224" fontId="52" fillId="0" borderId="0" applyBorder="0">
      <alignment/>
      <protection/>
    </xf>
    <xf numFmtId="7" fontId="6" fillId="0" borderId="0" applyFont="0" applyFill="0" applyBorder="0" applyAlignment="0" applyProtection="0"/>
    <xf numFmtId="225" fontId="42" fillId="0" borderId="0" applyFont="0" applyFill="0" applyBorder="0" applyAlignment="0" applyProtection="0"/>
    <xf numFmtId="226" fontId="42" fillId="0" borderId="0" applyFont="0" applyFill="0" applyAlignment="0" applyProtection="0"/>
    <xf numFmtId="225" fontId="42" fillId="0" borderId="0" applyFont="0" applyFill="0" applyBorder="0" applyAlignment="0" applyProtection="0"/>
    <xf numFmtId="227" fontId="4" fillId="0" borderId="0" applyFont="0" applyFill="0" applyBorder="0" applyAlignment="0" applyProtection="0"/>
    <xf numFmtId="2" fontId="6" fillId="0" borderId="0" applyFont="0" applyFill="0" applyBorder="0" applyAlignment="0" applyProtection="0"/>
    <xf numFmtId="0" fontId="53" fillId="0" borderId="0">
      <alignment/>
      <protection/>
    </xf>
    <xf numFmtId="0" fontId="54" fillId="0" borderId="0" applyNumberFormat="0" applyFill="0" applyBorder="0" applyAlignment="0" applyProtection="0"/>
    <xf numFmtId="0" fontId="4" fillId="0" borderId="0" applyFont="0" applyFill="0" applyBorder="0" applyAlignment="0" applyProtection="0"/>
    <xf numFmtId="0" fontId="40" fillId="0" borderId="0" applyFont="0" applyFill="0" applyBorder="0" applyProtection="0">
      <alignment horizontal="center" wrapText="1"/>
    </xf>
    <xf numFmtId="228" fontId="40" fillId="0" borderId="0" applyFont="0" applyFill="0" applyBorder="0" applyProtection="0">
      <alignment horizontal="right"/>
    </xf>
    <xf numFmtId="0" fontId="54" fillId="0" borderId="0" applyNumberFormat="0" applyFill="0" applyBorder="0" applyAlignment="0" applyProtection="0"/>
    <xf numFmtId="0" fontId="55" fillId="4" borderId="0" applyNumberFormat="0" applyFill="0" applyBorder="0" applyAlignment="0" applyProtection="0"/>
    <xf numFmtId="0" fontId="8" fillId="0" borderId="6" applyNumberFormat="0" applyProtection="0">
      <alignment/>
    </xf>
    <xf numFmtId="0" fontId="8" fillId="0" borderId="7">
      <alignment horizontal="left" vertical="center"/>
      <protection/>
    </xf>
    <xf numFmtId="14" fontId="28" fillId="5" borderId="8">
      <alignment horizontal="center" vertical="center" wrapText="1"/>
      <protection/>
    </xf>
    <xf numFmtId="0" fontId="2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Alignment="0">
      <protection locked="0"/>
    </xf>
    <xf numFmtId="0" fontId="27" fillId="0" borderId="1" applyFill="0" applyAlignment="0">
      <protection locked="0"/>
    </xf>
    <xf numFmtId="0" fontId="22" fillId="0" borderId="8">
      <alignment/>
      <protection/>
    </xf>
    <xf numFmtId="0" fontId="23" fillId="0" borderId="0">
      <alignment/>
      <protection/>
    </xf>
    <xf numFmtId="0" fontId="56" fillId="0" borderId="1" applyNumberFormat="0" applyFill="0" applyAlignment="0" applyProtection="0"/>
    <xf numFmtId="0" fontId="51" fillId="6" borderId="0" applyNumberFormat="0" applyFont="0" applyBorder="0" applyAlignment="0" applyProtection="0"/>
    <xf numFmtId="0" fontId="57" fillId="0" borderId="0" applyNumberFormat="0" applyFill="0" applyBorder="0">
      <alignment/>
      <protection locked="0"/>
    </xf>
    <xf numFmtId="0" fontId="37" fillId="7" borderId="9" applyNumberFormat="0" applyAlignment="0" applyProtection="0"/>
    <xf numFmtId="229" fontId="40" fillId="0" borderId="0" applyFont="0" applyFill="0" applyBorder="0" applyProtection="0">
      <alignment horizontal="left"/>
    </xf>
    <xf numFmtId="230" fontId="40" fillId="0" borderId="0" applyFont="0" applyFill="0" applyBorder="0" applyProtection="0">
      <alignment horizontal="left"/>
    </xf>
    <xf numFmtId="231" fontId="40" fillId="0" borderId="0" applyFont="0" applyFill="0" applyBorder="0" applyProtection="0">
      <alignment horizontal="left"/>
    </xf>
    <xf numFmtId="232" fontId="40" fillId="0" borderId="0" applyFont="0" applyFill="0" applyBorder="0" applyProtection="0">
      <alignment horizontal="left"/>
    </xf>
    <xf numFmtId="0" fontId="4" fillId="8" borderId="9" applyNumberFormat="0" applyBorder="0" applyAlignment="0" applyProtection="0"/>
    <xf numFmtId="5" fontId="58" fillId="0" borderId="0" applyBorder="0">
      <alignment/>
      <protection/>
    </xf>
    <xf numFmtId="182" fontId="58" fillId="0" borderId="0" applyBorder="0">
      <alignment/>
      <protection/>
    </xf>
    <xf numFmtId="7" fontId="58" fillId="0" borderId="0" applyBorder="0">
      <alignment/>
      <protection/>
    </xf>
    <xf numFmtId="37" fontId="58" fillId="0" borderId="0" applyBorder="0">
      <alignment/>
      <protection/>
    </xf>
    <xf numFmtId="180" fontId="58" fillId="0" borderId="0" applyBorder="0">
      <alignment/>
      <protection/>
    </xf>
    <xf numFmtId="223" fontId="58" fillId="0" borderId="0" applyBorder="0">
      <alignment/>
      <protection/>
    </xf>
    <xf numFmtId="39" fontId="58" fillId="0" borderId="0" applyBorder="0">
      <alignment/>
      <protection/>
    </xf>
    <xf numFmtId="224" fontId="58" fillId="0" borderId="0" applyBorder="0">
      <alignment/>
      <protection/>
    </xf>
    <xf numFmtId="0" fontId="51" fillId="0" borderId="10" applyNumberFormat="0" applyFont="0" applyFill="0" applyAlignment="0" applyProtection="0"/>
    <xf numFmtId="0" fontId="59" fillId="0" borderId="0">
      <alignment/>
      <protection/>
    </xf>
    <xf numFmtId="0" fontId="4" fillId="9" borderId="0">
      <alignment/>
      <protection/>
    </xf>
    <xf numFmtId="233" fontId="6" fillId="0" borderId="0" applyFont="0" applyFill="0" applyBorder="0" applyAlignment="0" applyProtection="0"/>
    <xf numFmtId="234"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0" fontId="6" fillId="0" borderId="0" applyFont="0" applyFill="0" applyBorder="0" applyProtection="0">
      <alignment/>
    </xf>
    <xf numFmtId="237" fontId="6" fillId="0" borderId="0" applyFont="0" applyFill="0" applyBorder="0" applyAlignment="0" applyProtection="0"/>
    <xf numFmtId="37" fontId="60" fillId="0" borderId="0">
      <alignment/>
      <protection/>
    </xf>
    <xf numFmtId="0" fontId="42" fillId="0" borderId="0">
      <alignment/>
      <protection/>
    </xf>
    <xf numFmtId="0" fontId="2" fillId="0" borderId="0">
      <alignment/>
      <protection/>
    </xf>
    <xf numFmtId="7" fontId="84" fillId="0" borderId="0">
      <alignment/>
      <protection/>
    </xf>
    <xf numFmtId="0" fontId="6" fillId="0" borderId="0">
      <alignment/>
      <protection/>
    </xf>
    <xf numFmtId="0" fontId="3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0"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Protection="0">
      <alignment/>
    </xf>
    <xf numFmtId="174" fontId="0" fillId="0" borderId="0" applyProtection="0">
      <alignment/>
    </xf>
    <xf numFmtId="174" fontId="0" fillId="0" borderId="0" applyProtection="0">
      <alignment/>
    </xf>
    <xf numFmtId="174" fontId="0" fillId="0" borderId="0" applyProtection="0">
      <alignment/>
    </xf>
    <xf numFmtId="0" fontId="6" fillId="0" borderId="0">
      <alignment/>
      <protection/>
    </xf>
    <xf numFmtId="174" fontId="0" fillId="0" borderId="0" applyProtection="0">
      <alignment/>
    </xf>
    <xf numFmtId="0" fontId="6" fillId="0" borderId="0">
      <alignment/>
      <protection/>
    </xf>
    <xf numFmtId="0" fontId="33" fillId="10" borderId="0" applyNumberFormat="0" applyFont="0" applyBorder="0" applyAlignment="0">
      <protection/>
    </xf>
    <xf numFmtId="238" fontId="6" fillId="0" borderId="0" applyFont="0" applyFill="0" applyBorder="0" applyAlignment="0" applyProtection="0"/>
    <xf numFmtId="239" fontId="61" fillId="0" borderId="0">
      <alignment/>
      <protection/>
    </xf>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40" fontId="6" fillId="0" borderId="0">
      <alignment/>
      <protection/>
    </xf>
    <xf numFmtId="241" fontId="42" fillId="0" borderId="0">
      <alignment/>
      <protection/>
    </xf>
    <xf numFmtId="241" fontId="42" fillId="0" borderId="0">
      <alignment/>
      <protection/>
    </xf>
    <xf numFmtId="239" fontId="61" fillId="0" borderId="0">
      <alignment/>
      <protection/>
    </xf>
    <xf numFmtId="0" fontId="42" fillId="0" borderId="0">
      <alignment/>
      <protection/>
    </xf>
    <xf numFmtId="239" fontId="48" fillId="0" borderId="0">
      <alignment/>
      <protection/>
    </xf>
    <xf numFmtId="240" fontId="6" fillId="0" borderId="0">
      <alignment/>
      <protection/>
    </xf>
    <xf numFmtId="241" fontId="42" fillId="0" borderId="0">
      <alignment/>
      <protection/>
    </xf>
    <xf numFmtId="241" fontId="42" fillId="0" borderId="0">
      <alignment/>
      <protection/>
    </xf>
    <xf numFmtId="0" fontId="42" fillId="0" borderId="0">
      <alignment/>
      <protection/>
    </xf>
    <xf numFmtId="0" fontId="42" fillId="0" borderId="0">
      <alignment/>
      <protection/>
    </xf>
    <xf numFmtId="242" fontId="42" fillId="0" borderId="0">
      <alignment/>
      <protection/>
    </xf>
    <xf numFmtId="170" fontId="42" fillId="0" borderId="0">
      <alignment/>
      <protection/>
    </xf>
    <xf numFmtId="243" fontId="42" fillId="0" borderId="0">
      <alignment/>
      <protection/>
    </xf>
    <xf numFmtId="242" fontId="42" fillId="0" borderId="0">
      <alignment/>
      <protection/>
    </xf>
    <xf numFmtId="170" fontId="42" fillId="0" borderId="0">
      <alignment/>
      <protection/>
    </xf>
    <xf numFmtId="244" fontId="42" fillId="0" borderId="0">
      <alignment/>
      <protection/>
    </xf>
    <xf numFmtId="244" fontId="42" fillId="0" borderId="0">
      <alignment/>
      <protection/>
    </xf>
    <xf numFmtId="178" fontId="42" fillId="0" borderId="0">
      <alignment/>
      <protection/>
    </xf>
    <xf numFmtId="243" fontId="42" fillId="0" borderId="0">
      <alignment/>
      <protection/>
    </xf>
    <xf numFmtId="169" fontId="42" fillId="0" borderId="0">
      <alignment/>
      <protection/>
    </xf>
    <xf numFmtId="178" fontId="42" fillId="0" borderId="0">
      <alignment/>
      <protection/>
    </xf>
    <xf numFmtId="178" fontId="42" fillId="0" borderId="0">
      <alignment/>
      <protection/>
    </xf>
    <xf numFmtId="0" fontId="42" fillId="0" borderId="0">
      <alignment/>
      <protection/>
    </xf>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9" fontId="61" fillId="0" borderId="0">
      <alignment/>
      <protection/>
    </xf>
    <xf numFmtId="239" fontId="61" fillId="0" borderId="0">
      <alignment/>
      <protection/>
    </xf>
    <xf numFmtId="238" fontId="6" fillId="0" borderId="0" applyFont="0" applyFill="0" applyBorder="0" applyAlignment="0" applyProtection="0"/>
    <xf numFmtId="239" fontId="61" fillId="0" borderId="0">
      <alignment/>
      <protection/>
    </xf>
    <xf numFmtId="239" fontId="61" fillId="0" borderId="0">
      <alignment/>
      <protection/>
    </xf>
    <xf numFmtId="242" fontId="42" fillId="0" borderId="0">
      <alignment/>
      <protection/>
    </xf>
    <xf numFmtId="170" fontId="42" fillId="0" borderId="0">
      <alignment/>
      <protection/>
    </xf>
    <xf numFmtId="243" fontId="42" fillId="0" borderId="0">
      <alignment/>
      <protection/>
    </xf>
    <xf numFmtId="242" fontId="42" fillId="0" borderId="0">
      <alignment/>
      <protection/>
    </xf>
    <xf numFmtId="170" fontId="42" fillId="0" borderId="0">
      <alignment/>
      <protection/>
    </xf>
    <xf numFmtId="244" fontId="42" fillId="0" borderId="0">
      <alignment/>
      <protection/>
    </xf>
    <xf numFmtId="244" fontId="42" fillId="0" borderId="0">
      <alignment/>
      <protection/>
    </xf>
    <xf numFmtId="178" fontId="42" fillId="0" borderId="0">
      <alignment/>
      <protection/>
    </xf>
    <xf numFmtId="243" fontId="42" fillId="0" borderId="0">
      <alignment/>
      <protection/>
    </xf>
    <xf numFmtId="169" fontId="42" fillId="0" borderId="0">
      <alignment/>
      <protection/>
    </xf>
    <xf numFmtId="178" fontId="42" fillId="0" borderId="0">
      <alignment/>
      <protection/>
    </xf>
    <xf numFmtId="178" fontId="42" fillId="0" borderId="0">
      <alignment/>
      <protection/>
    </xf>
    <xf numFmtId="245" fontId="14" fillId="11" borderId="0" applyFont="0" applyFill="0" applyBorder="0" applyAlignment="0" applyProtection="0"/>
    <xf numFmtId="246" fontId="14" fillId="11" borderId="0" applyFont="0" applyFill="0" applyBorder="0" applyAlignment="0" applyProtection="0"/>
    <xf numFmtId="247" fontId="6" fillId="0" borderId="0" applyFont="0" applyFill="0" applyBorder="0" applyAlignment="0" applyProtection="0"/>
    <xf numFmtId="248" fontId="47" fillId="0" borderId="0" applyFont="0" applyFill="0" applyBorder="0" applyAlignment="0" applyProtection="0"/>
    <xf numFmtId="249" fontId="38" fillId="0" borderId="0" applyFont="0" applyFill="0" applyBorder="0" applyAlignment="0" applyProtection="0"/>
    <xf numFmtId="250" fontId="6" fillId="0" borderId="0" applyFont="0" applyFill="0" applyBorder="0" applyAlignment="0" applyProtection="0"/>
    <xf numFmtId="251" fontId="40" fillId="0" borderId="0" applyFont="0" applyFill="0" applyBorder="0" applyAlignment="0" applyProtection="0"/>
    <xf numFmtId="252" fontId="40" fillId="0" borderId="0" applyFont="0" applyFill="0" applyBorder="0" applyAlignment="0" applyProtection="0"/>
    <xf numFmtId="253" fontId="40" fillId="0" borderId="0" applyFont="0" applyFill="0" applyBorder="0" applyAlignment="0" applyProtection="0"/>
    <xf numFmtId="254" fontId="40" fillId="0" borderId="0" applyFont="0" applyFill="0" applyBorder="0" applyAlignment="0" applyProtection="0"/>
    <xf numFmtId="255" fontId="47" fillId="0" borderId="0" applyFont="0" applyFill="0" applyBorder="0" applyAlignment="0" applyProtection="0"/>
    <xf numFmtId="256" fontId="38" fillId="0" borderId="0" applyFont="0" applyFill="0" applyBorder="0" applyAlignment="0" applyProtection="0"/>
    <xf numFmtId="257" fontId="47" fillId="0" borderId="0" applyFont="0" applyFill="0" applyBorder="0" applyAlignment="0" applyProtection="0"/>
    <xf numFmtId="258" fontId="38" fillId="0" borderId="0" applyFont="0" applyFill="0" applyBorder="0" applyAlignment="0" applyProtection="0"/>
    <xf numFmtId="259" fontId="47" fillId="0" borderId="0" applyFont="0" applyFill="0" applyBorder="0" applyAlignment="0" applyProtection="0"/>
    <xf numFmtId="260" fontId="38" fillId="0" borderId="0" applyFont="0" applyFill="0" applyBorder="0" applyAlignment="0" applyProtection="0"/>
    <xf numFmtId="261" fontId="9" fillId="0" borderId="0" applyFont="0" applyFill="0" applyBorder="0" applyAlignment="0">
      <protection locked="0"/>
    </xf>
    <xf numFmtId="262"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192" fontId="48" fillId="0" borderId="0" applyFill="0" applyBorder="0" applyAlignment="0" applyProtection="0"/>
    <xf numFmtId="9" fontId="52" fillId="0" borderId="0" applyBorder="0">
      <alignment/>
      <protection/>
    </xf>
    <xf numFmtId="171" fontId="52" fillId="0" borderId="0" applyBorder="0">
      <alignment/>
      <protection/>
    </xf>
    <xf numFmtId="10" fontId="52" fillId="0" borderId="0" applyBorder="0">
      <alignment/>
      <protection/>
    </xf>
    <xf numFmtId="0" fontId="24" fillId="0" borderId="0" applyNumberFormat="0" applyFont="0" applyFill="0" applyBorder="0" applyProtection="0">
      <alignment/>
    </xf>
    <xf numFmtId="15" fontId="24" fillId="0" borderId="0" applyFont="0" applyFill="0" applyBorder="0" applyAlignment="0" applyProtection="0"/>
    <xf numFmtId="4" fontId="24" fillId="0" borderId="0" applyFont="0" applyFill="0" applyBorder="0" applyAlignment="0" applyProtection="0"/>
    <xf numFmtId="3" fontId="6" fillId="0" borderId="0">
      <alignment horizontal="left" vertical="top"/>
      <protection/>
    </xf>
    <xf numFmtId="0" fontId="25" fillId="0" borderId="8">
      <alignment horizontal="center"/>
      <protection/>
    </xf>
    <xf numFmtId="3" fontId="24" fillId="0" borderId="0" applyFont="0" applyFill="0" applyBorder="0" applyAlignment="0" applyProtection="0"/>
    <xf numFmtId="0" fontId="24" fillId="12" borderId="0" applyNumberFormat="0" applyFont="0" applyBorder="0" applyAlignment="0" applyProtection="0"/>
    <xf numFmtId="3" fontId="6" fillId="0" borderId="0">
      <alignment horizontal="right" vertical="top"/>
      <protection/>
    </xf>
    <xf numFmtId="41" fontId="13" fillId="9" borderId="11" applyFill="0">
      <alignment/>
      <protection/>
    </xf>
    <xf numFmtId="0" fontId="26" fillId="0" borderId="0">
      <alignment horizontal="left" indent="7"/>
      <protection/>
    </xf>
    <xf numFmtId="41" fontId="13" fillId="0" borderId="11" applyFill="0">
      <alignment horizontal="left" indent="2"/>
      <protection/>
    </xf>
    <xf numFmtId="174" fontId="27" fillId="0" borderId="1" applyFill="0">
      <alignment horizontal="right"/>
      <protection/>
    </xf>
    <xf numFmtId="0" fontId="28" fillId="0" borderId="9" applyNumberFormat="0" applyFont="0" applyBorder="0">
      <alignment horizontal="right"/>
      <protection/>
    </xf>
    <xf numFmtId="0" fontId="29" fillId="0" borderId="0" applyFill="0">
      <alignment/>
      <protection/>
    </xf>
    <xf numFmtId="0" fontId="8" fillId="0" borderId="0" applyFill="0">
      <alignment/>
      <protection/>
    </xf>
    <xf numFmtId="4" fontId="27" fillId="0" borderId="1" applyFill="0">
      <alignment/>
      <protection/>
    </xf>
    <xf numFmtId="0" fontId="6" fillId="0" borderId="0" applyNumberFormat="0" applyFont="0" applyBorder="0" applyAlignment="0">
      <protection/>
    </xf>
    <xf numFmtId="0" fontId="11" fillId="0" borderId="0" applyFill="0">
      <alignment horizontal="left" indent="1"/>
      <protection/>
    </xf>
    <xf numFmtId="0" fontId="30" fillId="0" borderId="0" applyFill="0">
      <alignment horizontal="left" indent="1"/>
      <protection/>
    </xf>
    <xf numFmtId="4" fontId="14" fillId="0" borderId="0" applyFill="0">
      <alignment/>
      <protection/>
    </xf>
    <xf numFmtId="0" fontId="6" fillId="0" borderId="0" applyNumberFormat="0" applyFont="0" applyFill="0" applyBorder="0" applyAlignment="0">
      <protection/>
    </xf>
    <xf numFmtId="0" fontId="11" fillId="0" borderId="0" applyFill="0">
      <alignment horizontal="left" indent="2"/>
      <protection/>
    </xf>
    <xf numFmtId="0" fontId="8" fillId="0" borderId="0" applyFill="0">
      <alignment horizontal="left" indent="2"/>
      <protection/>
    </xf>
    <xf numFmtId="4" fontId="14" fillId="0" borderId="0" applyFill="0">
      <alignment/>
      <protection/>
    </xf>
    <xf numFmtId="0" fontId="6" fillId="0" borderId="0" applyNumberFormat="0" applyFont="0" applyBorder="0" applyAlignment="0">
      <protection/>
    </xf>
    <xf numFmtId="0" fontId="31" fillId="0" borderId="0">
      <alignment horizontal="left" indent="3"/>
      <protection/>
    </xf>
    <xf numFmtId="0" fontId="32" fillId="0" borderId="0" applyFill="0">
      <alignment horizontal="left" indent="3"/>
      <protection/>
    </xf>
    <xf numFmtId="4" fontId="14" fillId="0" borderId="0" applyFill="0">
      <alignment/>
      <protection/>
    </xf>
    <xf numFmtId="0" fontId="6" fillId="0" borderId="0" applyNumberFormat="0" applyFont="0" applyBorder="0" applyAlignment="0">
      <protection/>
    </xf>
    <xf numFmtId="0" fontId="15" fillId="0" borderId="0">
      <alignment horizontal="left" indent="4"/>
      <protection/>
    </xf>
    <xf numFmtId="0" fontId="6" fillId="0" borderId="0" applyFill="0">
      <alignment horizontal="left" indent="4"/>
      <protection/>
    </xf>
    <xf numFmtId="0" fontId="6" fillId="0" borderId="0" applyFill="0">
      <alignment horizontal="left" indent="4"/>
      <protection/>
    </xf>
    <xf numFmtId="4" fontId="16" fillId="0" borderId="0" applyFill="0">
      <alignment/>
      <protection/>
    </xf>
    <xf numFmtId="0" fontId="6" fillId="0" borderId="0" applyNumberFormat="0" applyFont="0" applyBorder="0" applyAlignment="0">
      <protection/>
    </xf>
    <xf numFmtId="0" fontId="17" fillId="0" borderId="0">
      <alignment horizontal="left" indent="5"/>
      <protection/>
    </xf>
    <xf numFmtId="0" fontId="18" fillId="0" borderId="0" applyFill="0">
      <alignment horizontal="left" indent="5"/>
      <protection/>
    </xf>
    <xf numFmtId="4" fontId="19" fillId="0" borderId="0" applyFill="0">
      <alignment/>
      <protection/>
    </xf>
    <xf numFmtId="0" fontId="6" fillId="0" borderId="0" applyNumberFormat="0" applyFont="0" applyFill="0" applyBorder="0" applyAlignment="0">
      <protection/>
    </xf>
    <xf numFmtId="0" fontId="20" fillId="0" borderId="0" applyFill="0">
      <alignment horizontal="left" indent="6"/>
      <protection/>
    </xf>
    <xf numFmtId="0" fontId="16" fillId="0" borderId="0" applyFill="0">
      <alignment horizontal="left" indent="6"/>
      <protection/>
    </xf>
    <xf numFmtId="0" fontId="51" fillId="0" borderId="12" applyNumberFormat="0" applyFont="0" applyFill="0" applyAlignment="0" applyProtection="0"/>
    <xf numFmtId="0" fontId="62" fillId="0" borderId="0" applyNumberFormat="0" applyFill="0" applyBorder="0" applyAlignment="0" applyProtection="0"/>
    <xf numFmtId="0" fontId="63" fillId="0" borderId="0">
      <alignment/>
      <protection/>
    </xf>
    <xf numFmtId="0" fontId="63" fillId="0" borderId="0">
      <alignment/>
      <protection/>
    </xf>
    <xf numFmtId="0" fontId="39" fillId="0" borderId="8">
      <alignment horizontal="right"/>
      <protection/>
    </xf>
    <xf numFmtId="0" fontId="5" fillId="13" borderId="0">
      <alignment/>
      <protection/>
    </xf>
    <xf numFmtId="263" fontId="49" fillId="0" borderId="0">
      <alignment horizontal="center"/>
      <protection/>
    </xf>
    <xf numFmtId="264" fontId="64" fillId="0" borderId="0">
      <alignment horizontal="center"/>
      <protection/>
    </xf>
    <xf numFmtId="0" fontId="65" fillId="0" borderId="0" applyNumberFormat="0" applyFill="0" applyBorder="0" applyAlignment="0" applyProtection="0"/>
    <xf numFmtId="0" fontId="66" fillId="0" borderId="0" applyNumberFormat="0" applyBorder="0" applyAlignment="0">
      <protection/>
    </xf>
    <xf numFmtId="0" fontId="36" fillId="0" borderId="0" applyNumberFormat="0" applyBorder="0" applyAlignment="0">
      <protection/>
    </xf>
    <xf numFmtId="0" fontId="6" fillId="9" borderId="4" applyNumberFormat="0" applyFont="0" applyAlignment="0">
      <protection/>
    </xf>
    <xf numFmtId="0" fontId="51" fillId="3" borderId="0" applyNumberFormat="0" applyFont="0" applyBorder="0" applyAlignment="0" applyProtection="0"/>
    <xf numFmtId="0" fontId="67" fillId="0" borderId="7" applyNumberFormat="0" applyFont="0" applyFill="0" applyAlignment="0" applyProtection="0"/>
    <xf numFmtId="0" fontId="34" fillId="0" borderId="0" applyFill="0" applyBorder="0" applyProtection="0">
      <alignment horizontal="left" vertical="top"/>
    </xf>
    <xf numFmtId="0" fontId="68" fillId="0" borderId="0">
      <alignment/>
      <protection/>
    </xf>
    <xf numFmtId="0" fontId="6" fillId="0" borderId="3" applyNumberFormat="0" applyFont="0" applyFill="0" applyAlignment="0" applyProtection="0"/>
    <xf numFmtId="0" fontId="6" fillId="0" borderId="0" applyFont="0" applyFill="0" applyBorder="0" applyAlignment="0" applyProtection="0"/>
    <xf numFmtId="0" fontId="69" fillId="0" borderId="0" applyNumberFormat="0" applyFill="0" applyBorder="0" applyAlignment="0" applyProtection="0"/>
    <xf numFmtId="265" fontId="38" fillId="0" borderId="0" applyFont="0" applyFill="0" applyBorder="0" applyAlignment="0" applyProtection="0"/>
    <xf numFmtId="266" fontId="38" fillId="0" borderId="0" applyFont="0" applyFill="0" applyBorder="0" applyAlignment="0" applyProtection="0"/>
    <xf numFmtId="267" fontId="38" fillId="0" borderId="0" applyFont="0" applyFill="0" applyBorder="0" applyAlignment="0" applyProtection="0"/>
    <xf numFmtId="268" fontId="38" fillId="0" borderId="0" applyFont="0" applyFill="0" applyBorder="0" applyAlignment="0" applyProtection="0"/>
    <xf numFmtId="269" fontId="38" fillId="0" borderId="0" applyFont="0" applyFill="0" applyBorder="0" applyAlignment="0" applyProtection="0"/>
    <xf numFmtId="270" fontId="38" fillId="0" borderId="0" applyFont="0" applyFill="0" applyBorder="0" applyAlignment="0" applyProtection="0"/>
    <xf numFmtId="271" fontId="38" fillId="0" borderId="0" applyFont="0" applyFill="0" applyBorder="0" applyAlignment="0" applyProtection="0"/>
    <xf numFmtId="272" fontId="38" fillId="0" borderId="0" applyFont="0" applyFill="0" applyBorder="0" applyAlignment="0" applyProtection="0"/>
    <xf numFmtId="273" fontId="70" fillId="3" borderId="13" applyFont="0" applyFill="0" applyBorder="0" applyAlignment="0" applyProtection="0"/>
    <xf numFmtId="273" fontId="42" fillId="0" borderId="0" applyFont="0" applyFill="0" applyBorder="0" applyAlignment="0" applyProtection="0"/>
    <xf numFmtId="274" fontId="45" fillId="0" borderId="0" applyFont="0" applyFill="0" applyBorder="0" applyAlignment="0" applyProtection="0"/>
    <xf numFmtId="275" fontId="49" fillId="0" borderId="7" applyFont="0" applyFill="0" applyBorder="0">
      <alignment/>
      <protection locked="0"/>
    </xf>
    <xf numFmtId="43" fontId="3" fillId="0" borderId="0" applyFont="0" applyFill="0" applyBorder="0" applyAlignment="0" applyProtection="0"/>
    <xf numFmtId="43" fontId="6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92" fillId="0" borderId="0">
      <alignment/>
      <protection/>
    </xf>
    <xf numFmtId="0" fontId="2" fillId="0" borderId="0">
      <alignment/>
      <protection/>
    </xf>
    <xf numFmtId="43" fontId="2" fillId="0" borderId="0" applyFont="0" applyFill="0" applyBorder="0" applyAlignment="0" applyProtection="0"/>
    <xf numFmtId="0" fontId="6" fillId="0" borderId="0">
      <alignment/>
      <protection/>
    </xf>
    <xf numFmtId="174" fontId="0" fillId="0" borderId="0" applyProtection="0">
      <alignment/>
    </xf>
    <xf numFmtId="0" fontId="2" fillId="0" borderId="0">
      <alignment/>
      <protection/>
    </xf>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101" fillId="38" borderId="0" applyNumberFormat="0" applyBorder="0" applyAlignment="0" applyProtection="0"/>
    <xf numFmtId="0" fontId="102" fillId="39" borderId="14" applyNumberFormat="0" applyAlignment="0" applyProtection="0"/>
    <xf numFmtId="0" fontId="103" fillId="40" borderId="15" applyNumberFormat="0" applyAlignment="0" applyProtection="0"/>
    <xf numFmtId="43" fontId="99" fillId="0" borderId="0" applyFill="0" applyBorder="0" applyAlignment="0" applyProtection="0"/>
    <xf numFmtId="43" fontId="99" fillId="0" borderId="0" applyFill="0" applyBorder="0" applyAlignment="0" applyProtection="0"/>
    <xf numFmtId="0" fontId="104" fillId="0" borderId="0" applyNumberFormat="0" applyFill="0" applyBorder="0" applyAlignment="0" applyProtection="0"/>
    <xf numFmtId="0" fontId="105" fillId="41" borderId="0" applyNumberFormat="0" applyBorder="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42" borderId="14" applyNumberFormat="0" applyAlignment="0" applyProtection="0"/>
    <xf numFmtId="0" fontId="107" fillId="42" borderId="14" applyNumberFormat="0" applyAlignment="0" applyProtection="0"/>
    <xf numFmtId="0" fontId="108" fillId="0" borderId="17" applyNumberFormat="0" applyFill="0" applyAlignment="0" applyProtection="0"/>
    <xf numFmtId="0" fontId="109" fillId="43" borderId="0" applyNumberFormat="0" applyBorder="0" applyAlignment="0" applyProtection="0"/>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8" borderId="18" applyNumberFormat="0" applyFont="0" applyAlignment="0" applyProtection="0"/>
    <xf numFmtId="0" fontId="110" fillId="39" borderId="19" applyNumberFormat="0" applyAlignment="0" applyProtection="0"/>
    <xf numFmtId="9" fontId="99" fillId="0" borderId="0" applyFill="0" applyBorder="0" applyAlignment="0" applyProtection="0"/>
    <xf numFmtId="0" fontId="5" fillId="8" borderId="0">
      <alignment/>
      <protection/>
    </xf>
    <xf numFmtId="0" fontId="111" fillId="0" borderId="0" applyNumberFormat="0" applyFill="0" applyBorder="0" applyAlignment="0" applyProtection="0"/>
    <xf numFmtId="0" fontId="112" fillId="0" borderId="0" applyNumberForma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44" borderId="20" applyNumberFormat="0" applyProtection="0">
      <alignment/>
    </xf>
    <xf numFmtId="0" fontId="121" fillId="0" borderId="21" applyNumberFormat="0" applyProtection="0">
      <alignment horizontal="right" vertical="center"/>
    </xf>
    <xf numFmtId="0" fontId="120" fillId="0" borderId="22" applyNumberFormat="0" applyProtection="0">
      <alignment horizontal="right" vertical="center"/>
    </xf>
    <xf numFmtId="0" fontId="121" fillId="45" borderId="20" applyNumberFormat="0" applyProtection="0">
      <alignment/>
    </xf>
    <xf numFmtId="0" fontId="122" fillId="46" borderId="22" applyNumberFormat="0">
      <alignment/>
      <protection locked="0"/>
    </xf>
    <xf numFmtId="0" fontId="122" fillId="47" borderId="22" applyNumberFormat="0" applyProtection="0">
      <alignment/>
    </xf>
    <xf numFmtId="0" fontId="121" fillId="48" borderId="21" applyNumberFormat="0" applyBorder="0">
      <alignment horizontal="right" vertical="center"/>
      <protection locked="0"/>
    </xf>
    <xf numFmtId="0" fontId="122" fillId="46" borderId="22" applyNumberFormat="0">
      <alignment/>
      <protection locked="0"/>
    </xf>
    <xf numFmtId="0" fontId="120" fillId="47" borderId="22" applyNumberFormat="0" applyProtection="0">
      <alignment horizontal="right" vertical="center"/>
    </xf>
    <xf numFmtId="0" fontId="120" fillId="48" borderId="22" applyNumberFormat="0" applyBorder="0">
      <alignment horizontal="right" vertical="center"/>
      <protection locked="0"/>
    </xf>
    <xf numFmtId="0" fontId="123" fillId="49" borderId="23" applyNumberFormat="0" applyBorder="0" applyProtection="0">
      <alignment/>
    </xf>
    <xf numFmtId="0" fontId="124" fillId="50" borderId="23" applyNumberFormat="0" applyBorder="0" applyProtection="0">
      <alignment/>
    </xf>
    <xf numFmtId="0" fontId="124" fillId="51" borderId="23" applyNumberFormat="0" applyBorder="0" applyProtection="0">
      <alignment/>
    </xf>
    <xf numFmtId="0" fontId="125" fillId="52" borderId="23" applyNumberFormat="0" applyBorder="0" applyProtection="0">
      <alignment/>
    </xf>
    <xf numFmtId="0" fontId="125" fillId="53" borderId="23" applyNumberFormat="0" applyBorder="0" applyProtection="0">
      <alignment/>
    </xf>
    <xf numFmtId="0" fontId="125" fillId="54" borderId="23" applyNumberFormat="0" applyBorder="0" applyProtection="0">
      <alignment/>
    </xf>
    <xf numFmtId="0" fontId="126" fillId="55" borderId="23" applyNumberFormat="0" applyBorder="0" applyProtection="0">
      <alignment/>
    </xf>
    <xf numFmtId="0" fontId="126" fillId="56" borderId="23" applyNumberFormat="0" applyBorder="0" applyProtection="0">
      <alignment/>
    </xf>
    <xf numFmtId="0" fontId="126" fillId="57" borderId="23" applyNumberFormat="0" applyBorder="0" applyProtection="0">
      <alignment/>
    </xf>
    <xf numFmtId="0" fontId="127" fillId="0" borderId="20" applyNumberFormat="0" applyFont="0" applyFill="0" applyAlignment="0" applyProtection="0"/>
    <xf numFmtId="0" fontId="128" fillId="45" borderId="0" applyNumberFormat="0" applyProtection="0">
      <alignment/>
    </xf>
    <xf numFmtId="0" fontId="127" fillId="0" borderId="24" applyNumberFormat="0" applyFont="0" applyFill="0" applyAlignment="0" applyProtection="0"/>
    <xf numFmtId="0" fontId="121" fillId="0" borderId="21" applyNumberFormat="0" applyFill="0" applyBorder="0" applyProtection="0">
      <alignment/>
    </xf>
    <xf numFmtId="0" fontId="121" fillId="45" borderId="20" applyNumberFormat="0" applyProtection="0">
      <alignment/>
    </xf>
    <xf numFmtId="0" fontId="120" fillId="44" borderId="22" applyNumberFormat="0" applyProtection="0">
      <alignment/>
    </xf>
    <xf numFmtId="0" fontId="122" fillId="58" borderId="20" applyNumberFormat="0" applyProtection="0">
      <alignment/>
    </xf>
    <xf numFmtId="0" fontId="122" fillId="59" borderId="20" applyNumberFormat="0" applyProtection="0">
      <alignment/>
    </xf>
    <xf numFmtId="0" fontId="122" fillId="60" borderId="20" applyNumberFormat="0" applyProtection="0">
      <alignment/>
    </xf>
    <xf numFmtId="0" fontId="122" fillId="48" borderId="20" applyNumberFormat="0" applyProtection="0">
      <alignment/>
    </xf>
    <xf numFmtId="0" fontId="122" fillId="47" borderId="22" applyNumberFormat="0" applyProtection="0">
      <alignment/>
    </xf>
    <xf numFmtId="0" fontId="129" fillId="0" borderId="25" applyNumberFormat="0" applyFill="0" applyBorder="0" applyAlignment="0" applyProtection="0"/>
    <xf numFmtId="0" fontId="130" fillId="0" borderId="25" applyNumberFormat="0" applyBorder="0" applyAlignment="0" applyProtection="0"/>
    <xf numFmtId="0" fontId="129" fillId="46" borderId="22" applyNumberFormat="0">
      <alignment/>
      <protection locked="0"/>
    </xf>
    <xf numFmtId="0" fontId="129" fillId="46" borderId="22" applyNumberFormat="0">
      <alignment/>
      <protection locked="0"/>
    </xf>
    <xf numFmtId="0" fontId="129" fillId="47" borderId="22" applyNumberFormat="0" applyProtection="0">
      <alignment/>
    </xf>
    <xf numFmtId="0" fontId="131" fillId="47" borderId="22" applyNumberFormat="0" applyProtection="0">
      <alignment horizontal="right" vertical="center"/>
    </xf>
    <xf numFmtId="0" fontId="132" fillId="48" borderId="21" applyNumberFormat="0" applyBorder="0">
      <alignment horizontal="right" vertical="center"/>
      <protection locked="0"/>
    </xf>
    <xf numFmtId="0" fontId="131" fillId="48" borderId="22" applyNumberFormat="0" applyBorder="0">
      <alignment horizontal="right" vertical="center"/>
      <protection locked="0"/>
    </xf>
    <xf numFmtId="0" fontId="121" fillId="0" borderId="21" applyNumberFormat="0" applyFill="0" applyBorder="0" applyProtection="0">
      <alignment/>
    </xf>
    <xf numFmtId="0" fontId="2" fillId="0" borderId="0">
      <alignment/>
      <protection/>
    </xf>
    <xf numFmtId="0" fontId="2" fillId="0" borderId="0">
      <alignment/>
      <protection/>
    </xf>
    <xf numFmtId="0" fontId="6" fillId="0" borderId="0">
      <alignment/>
      <protection/>
    </xf>
    <xf numFmtId="0" fontId="5" fillId="0" borderId="0" applyNumberFormat="0" applyFill="0" applyBorder="0" applyAlignment="0" applyProtection="0"/>
    <xf numFmtId="0" fontId="13" fillId="0" borderId="0" applyNumberFormat="0" applyFill="0" applyBorder="0" applyAlignment="0" applyProtection="0"/>
    <xf numFmtId="0" fontId="28" fillId="0" borderId="1" applyNumberFormat="0" applyFill="0" applyProtection="0">
      <alignment horizontal="center" wrapText="1"/>
    </xf>
    <xf numFmtId="0" fontId="6" fillId="0" borderId="0" applyNumberFormat="0" applyFont="0" applyFill="0" applyBorder="0" applyProtection="0">
      <alignment horizontal="left" indent="1"/>
    </xf>
    <xf numFmtId="37" fontId="6" fillId="0" borderId="0" applyFont="0" applyFill="0" applyBorder="0" applyAlignment="0" applyProtection="0"/>
    <xf numFmtId="37" fontId="6" fillId="0" borderId="1" applyFont="0" applyFill="0" applyAlignment="0" applyProtection="0"/>
    <xf numFmtId="0" fontId="28" fillId="0" borderId="0" applyNumberFormat="0" applyFill="0" applyBorder="0" applyAlignment="0" applyProtection="0"/>
    <xf numFmtId="37" fontId="6" fillId="0" borderId="26" applyFont="0" applyFill="0" applyAlignment="0" applyProtection="0"/>
    <xf numFmtId="174" fontId="0" fillId="0" borderId="0" applyProtection="0">
      <alignment/>
    </xf>
    <xf numFmtId="0" fontId="2" fillId="0" borderId="0">
      <alignment/>
      <protection/>
    </xf>
    <xf numFmtId="0" fontId="2" fillId="0" borderId="0">
      <alignment/>
      <protection/>
    </xf>
    <xf numFmtId="0" fontId="2" fillId="0" borderId="0">
      <alignment/>
      <protection/>
    </xf>
    <xf numFmtId="0" fontId="99" fillId="0" borderId="0">
      <alignment/>
      <protection/>
    </xf>
    <xf numFmtId="0" fontId="133" fillId="0" borderId="0">
      <alignment/>
      <protection/>
    </xf>
    <xf numFmtId="0" fontId="6" fillId="0" borderId="0">
      <alignment/>
      <protection/>
    </xf>
    <xf numFmtId="0" fontId="134" fillId="0" borderId="0">
      <alignment/>
      <protection/>
    </xf>
    <xf numFmtId="0" fontId="2" fillId="0" borderId="0">
      <alignment/>
      <protection/>
    </xf>
    <xf numFmtId="43" fontId="133" fillId="0" borderId="0" applyFont="0" applyFill="0" applyBorder="0" applyAlignment="0" applyProtection="0"/>
    <xf numFmtId="0" fontId="2" fillId="0" borderId="0">
      <alignment/>
      <protection/>
    </xf>
    <xf numFmtId="43" fontId="2" fillId="0" borderId="0" applyFont="0" applyFill="0" applyBorder="0" applyAlignment="0" applyProtection="0"/>
    <xf numFmtId="0" fontId="6" fillId="0" borderId="0">
      <alignment/>
      <protection/>
    </xf>
  </cellStyleXfs>
  <cellXfs count="783">
    <xf numFmtId="174" fontId="0" fillId="0" borderId="0" xfId="0" applyAlignment="1">
      <alignment/>
    </xf>
    <xf numFmtId="0" fontId="42" fillId="0" borderId="0" xfId="229" applyFont="1">
      <alignment/>
      <protection/>
    </xf>
    <xf numFmtId="0" fontId="49" fillId="0" borderId="0" xfId="229" applyFont="1" applyAlignment="1">
      <alignment horizontal="centerContinuous"/>
      <protection/>
    </xf>
    <xf numFmtId="0" fontId="49" fillId="0" borderId="0" xfId="229" applyFont="1" applyAlignment="1">
      <alignment horizontal="center" wrapText="1"/>
      <protection/>
    </xf>
    <xf numFmtId="0" fontId="49" fillId="0" borderId="0" xfId="223" applyFont="1" applyFill="1" applyBorder="1" applyAlignment="1">
      <alignment horizontal="center" wrapText="1"/>
    </xf>
    <xf numFmtId="0" fontId="42" fillId="0" borderId="0" xfId="229" applyFont="1" applyAlignment="1" quotePrefix="1">
      <alignment horizontal="left"/>
      <protection/>
    </xf>
    <xf numFmtId="41" fontId="42" fillId="61" borderId="0" xfId="229" applyNumberFormat="1" applyFont="1" applyFill="1">
      <alignment/>
      <protection/>
    </xf>
    <xf numFmtId="0" fontId="42" fillId="0" borderId="0" xfId="229" applyFont="1" applyAlignment="1">
      <alignment horizontal="right"/>
      <protection/>
    </xf>
    <xf numFmtId="43" fontId="42" fillId="0" borderId="26" xfId="18" applyFont="1" applyBorder="1"/>
    <xf numFmtId="37" fontId="42" fillId="0" borderId="0" xfId="229" applyNumberFormat="1" applyFont="1">
      <alignment/>
      <protection/>
    </xf>
    <xf numFmtId="0" fontId="49" fillId="0" borderId="0" xfId="229" applyFont="1" applyAlignment="1">
      <alignment horizontal="centerContinuous" wrapText="1"/>
      <protection/>
    </xf>
    <xf numFmtId="0" fontId="49" fillId="0" borderId="0" xfId="229" applyFont="1" applyAlignment="1">
      <alignment horizontal="center"/>
      <protection/>
    </xf>
    <xf numFmtId="174" fontId="42" fillId="0" borderId="0" xfId="0" applyFont="1" applyAlignment="1">
      <alignment wrapText="1"/>
    </xf>
    <xf numFmtId="0" fontId="72" fillId="0" borderId="0" xfId="0" applyNumberFormat="1" applyFont="1" applyAlignment="1">
      <alignment horizontal="center"/>
    </xf>
    <xf numFmtId="174" fontId="72" fillId="0" borderId="0" xfId="0" applyFont="1" applyAlignment="1">
      <alignment/>
    </xf>
    <xf numFmtId="174" fontId="42" fillId="0" borderId="0" xfId="0" applyFont="1" applyAlignment="1">
      <alignment/>
    </xf>
    <xf numFmtId="174" fontId="42" fillId="0" borderId="0" xfId="224" applyFont="1" applyAlignment="1">
      <alignment/>
    </xf>
    <xf numFmtId="174" fontId="72" fillId="0" borderId="0" xfId="0" applyFont="1" applyAlignment="1">
      <alignment horizontal="center"/>
    </xf>
    <xf numFmtId="175" fontId="42" fillId="0" borderId="0" xfId="18" applyNumberFormat="1" applyFont="1" applyAlignment="1">
      <alignment/>
    </xf>
    <xf numFmtId="0" fontId="42" fillId="0" borderId="0" xfId="218" applyNumberFormat="1" applyFont="1" applyFill="1" applyBorder="1" applyAlignment="1" applyProtection="1">
      <alignment/>
      <protection locked="0"/>
    </xf>
    <xf numFmtId="0" fontId="42" fillId="0" borderId="0" xfId="218" applyNumberFormat="1" applyFont="1" applyFill="1" applyBorder="1" applyAlignment="1" applyProtection="1">
      <alignment horizontal="center"/>
      <protection locked="0"/>
    </xf>
    <xf numFmtId="0" fontId="42" fillId="61" borderId="0" xfId="218" applyNumberFormat="1" applyFont="1" applyFill="1" applyAlignment="1">
      <alignment horizontal="right"/>
    </xf>
    <xf numFmtId="3" fontId="42" fillId="0" borderId="0" xfId="218" applyNumberFormat="1" applyFont="1" applyFill="1" applyBorder="1" applyAlignment="1">
      <alignment/>
    </xf>
    <xf numFmtId="3" fontId="42" fillId="0" borderId="0" xfId="218" applyNumberFormat="1" applyFont="1" applyFill="1" applyBorder="1" applyAlignment="1">
      <alignment horizontal="center"/>
    </xf>
    <xf numFmtId="0" fontId="42" fillId="0" borderId="0" xfId="218" applyNumberFormat="1" applyFont="1" applyFill="1" applyBorder="1" applyProtection="1">
      <alignment/>
      <protection locked="0"/>
    </xf>
    <xf numFmtId="174" fontId="42" fillId="0" borderId="0" xfId="218" applyFont="1" applyFill="1" applyBorder="1" applyAlignment="1">
      <alignment/>
    </xf>
    <xf numFmtId="0" fontId="42" fillId="0" borderId="0" xfId="218" applyNumberFormat="1" applyFont="1" applyFill="1" applyBorder="1">
      <alignment/>
    </xf>
    <xf numFmtId="43" fontId="42" fillId="0" borderId="0" xfId="18" applyFont="1" applyAlignment="1">
      <alignment/>
    </xf>
    <xf numFmtId="0" fontId="42" fillId="0" borderId="0" xfId="228" applyNumberFormat="1" applyFont="1" applyAlignment="1" applyProtection="1">
      <alignment/>
      <protection locked="0"/>
    </xf>
    <xf numFmtId="3" fontId="42" fillId="0" borderId="0" xfId="228" applyNumberFormat="1" applyFont="1" applyAlignment="1">
      <alignment/>
    </xf>
    <xf numFmtId="3" fontId="42" fillId="0" borderId="8" xfId="228" applyNumberFormat="1" applyFont="1" applyBorder="1" applyAlignment="1">
      <alignment horizontal="center"/>
    </xf>
    <xf numFmtId="0" fontId="42" fillId="0" borderId="0" xfId="228" applyNumberFormat="1" applyFont="1" applyAlignment="1">
      <alignment/>
    </xf>
    <xf numFmtId="3" fontId="42" fillId="0" borderId="0" xfId="228" applyNumberFormat="1" applyFont="1" applyAlignment="1">
      <alignment horizontal="center"/>
    </xf>
    <xf numFmtId="0" fontId="42" fillId="0" borderId="8" xfId="228" applyNumberFormat="1" applyFont="1" applyBorder="1" applyAlignment="1" applyProtection="1">
      <alignment horizontal="center"/>
      <protection locked="0"/>
    </xf>
    <xf numFmtId="174" fontId="42" fillId="0" borderId="0" xfId="228" applyFont="1" applyFill="1" applyAlignment="1">
      <alignment/>
    </xf>
    <xf numFmtId="169" fontId="42" fillId="0" borderId="0" xfId="228" applyNumberFormat="1" applyFont="1" applyAlignment="1">
      <alignment/>
    </xf>
    <xf numFmtId="174" fontId="42" fillId="0" borderId="0" xfId="228" applyFont="1" applyAlignment="1">
      <alignment/>
    </xf>
    <xf numFmtId="3" fontId="42" fillId="0" borderId="0" xfId="228" applyNumberFormat="1" applyFont="1" applyFill="1" applyAlignment="1">
      <alignment/>
    </xf>
    <xf numFmtId="166" fontId="42" fillId="0" borderId="0" xfId="228" applyNumberFormat="1" applyFont="1" applyAlignment="1">
      <alignment horizontal="center"/>
    </xf>
    <xf numFmtId="164" fontId="42" fillId="0" borderId="0" xfId="228" applyNumberFormat="1" applyFont="1" applyAlignment="1">
      <alignment horizontal="left"/>
    </xf>
    <xf numFmtId="0" fontId="42" fillId="0" borderId="0" xfId="228" applyNumberFormat="1" applyFont="1" applyFill="1" applyAlignment="1">
      <alignment/>
    </xf>
    <xf numFmtId="164" fontId="42" fillId="0" borderId="0" xfId="228" applyNumberFormat="1" applyFont="1" applyFill="1" applyAlignment="1">
      <alignment horizontal="left"/>
    </xf>
    <xf numFmtId="175" fontId="42" fillId="0" borderId="0" xfId="18" applyNumberFormat="1" applyFont="1" applyBorder="1" applyAlignment="1">
      <alignment/>
    </xf>
    <xf numFmtId="10" fontId="42" fillId="0" borderId="0" xfId="228" applyNumberFormat="1" applyFont="1" applyFill="1" applyAlignment="1">
      <alignment horizontal="left"/>
    </xf>
    <xf numFmtId="3" fontId="42" fillId="0" borderId="0" xfId="205" applyNumberFormat="1" applyFont="1" applyAlignment="1">
      <alignment/>
      <protection/>
    </xf>
    <xf numFmtId="166" fontId="42" fillId="0" borderId="0" xfId="205" applyNumberFormat="1" applyFont="1" applyAlignment="1">
      <alignment/>
      <protection/>
    </xf>
    <xf numFmtId="0" fontId="42" fillId="0" borderId="0" xfId="205" applyFont="1" applyAlignment="1">
      <alignment/>
      <protection/>
    </xf>
    <xf numFmtId="43" fontId="42" fillId="0" borderId="8" xfId="18" applyFont="1" applyBorder="1" applyAlignment="1">
      <alignment/>
    </xf>
    <xf numFmtId="164" fontId="42" fillId="0" borderId="0" xfId="228" applyNumberFormat="1" applyFont="1" applyFill="1" applyAlignment="1" applyProtection="1">
      <alignment horizontal="left"/>
      <protection locked="0"/>
    </xf>
    <xf numFmtId="174" fontId="42" fillId="61" borderId="0" xfId="218" applyFont="1" applyFill="1" applyBorder="1" applyAlignment="1">
      <alignment/>
    </xf>
    <xf numFmtId="174" fontId="42" fillId="0" borderId="1" xfId="218" applyFont="1" applyFill="1" applyBorder="1" applyAlignment="1">
      <alignment/>
    </xf>
    <xf numFmtId="174" fontId="42" fillId="0" borderId="27" xfId="218" applyFont="1" applyFill="1" applyBorder="1" applyAlignment="1">
      <alignment/>
    </xf>
    <xf numFmtId="175" fontId="42" fillId="0" borderId="0" xfId="18" applyNumberFormat="1" applyFont="1" applyFill="1" applyBorder="1" applyAlignment="1">
      <alignment/>
    </xf>
    <xf numFmtId="43" fontId="42" fillId="0" borderId="0" xfId="18" applyFont="1" applyFill="1" applyBorder="1" applyAlignment="1">
      <alignment/>
    </xf>
    <xf numFmtId="174" fontId="73" fillId="0" borderId="0" xfId="218" applyFont="1" applyFill="1" applyBorder="1" applyAlignment="1">
      <alignment/>
    </xf>
    <xf numFmtId="174" fontId="42" fillId="0" borderId="0" xfId="218" applyFont="1" applyFill="1" applyBorder="1" applyAlignment="1">
      <alignment horizontal="center"/>
    </xf>
    <xf numFmtId="174" fontId="42" fillId="0" borderId="0" xfId="218" applyFont="1" applyFill="1" applyBorder="1" applyAlignment="1">
      <alignment horizontal="right"/>
    </xf>
    <xf numFmtId="0" fontId="42" fillId="0" borderId="0" xfId="205" applyFont="1" applyFill="1">
      <alignment/>
      <protection/>
    </xf>
    <xf numFmtId="0" fontId="42" fillId="0" borderId="0" xfId="218" applyNumberFormat="1" applyFont="1" applyFill="1" applyAlignment="1">
      <alignment horizontal="right"/>
    </xf>
    <xf numFmtId="0" fontId="74" fillId="0" borderId="0" xfId="218" applyNumberFormat="1" applyFont="1" applyFill="1" applyBorder="1">
      <alignment/>
    </xf>
    <xf numFmtId="0" fontId="74" fillId="0" borderId="0" xfId="218" applyNumberFormat="1" applyFont="1" applyFill="1" applyBorder="1" applyAlignment="1">
      <alignment horizontal="center"/>
    </xf>
    <xf numFmtId="49" fontId="42" fillId="0" borderId="0" xfId="218" applyNumberFormat="1" applyFont="1" applyFill="1" applyBorder="1">
      <alignment/>
    </xf>
    <xf numFmtId="3" fontId="42" fillId="0" borderId="0" xfId="218" applyNumberFormat="1" applyFont="1" applyFill="1" applyBorder="1">
      <alignment/>
    </xf>
    <xf numFmtId="0" fontId="42" fillId="0" borderId="0" xfId="218" applyNumberFormat="1" applyFont="1" applyFill="1" applyBorder="1" applyAlignment="1">
      <alignment horizontal="center"/>
    </xf>
    <xf numFmtId="49" fontId="42" fillId="0" borderId="0" xfId="218" applyNumberFormat="1" applyFont="1" applyFill="1" applyBorder="1" applyAlignment="1">
      <alignment horizontal="center"/>
    </xf>
    <xf numFmtId="0" fontId="42" fillId="0" borderId="0" xfId="218" applyNumberFormat="1" applyFont="1" applyFill="1" applyBorder="1" applyAlignment="1">
      <alignment/>
    </xf>
    <xf numFmtId="3" fontId="49" fillId="0" borderId="0" xfId="218" applyNumberFormat="1" applyFont="1" applyFill="1" applyBorder="1" applyAlignment="1">
      <alignment horizontal="center"/>
    </xf>
    <xf numFmtId="174" fontId="49" fillId="0" borderId="0" xfId="218" applyFont="1" applyFill="1" applyBorder="1" applyAlignment="1">
      <alignment horizontal="center"/>
    </xf>
    <xf numFmtId="0" fontId="49" fillId="0" borderId="0" xfId="218" applyNumberFormat="1" applyFont="1" applyFill="1" applyBorder="1" applyAlignment="1" applyProtection="1">
      <alignment horizontal="center"/>
      <protection locked="0"/>
    </xf>
    <xf numFmtId="0" fontId="49" fillId="0" borderId="0" xfId="218" applyNumberFormat="1" applyFont="1" applyFill="1" applyBorder="1" applyAlignment="1">
      <alignment horizontal="center"/>
    </xf>
    <xf numFmtId="0" fontId="49" fillId="0" borderId="0" xfId="218" applyNumberFormat="1" applyFont="1" applyFill="1" applyBorder="1" applyAlignment="1">
      <alignment/>
    </xf>
    <xf numFmtId="0" fontId="75" fillId="0" borderId="0" xfId="218" applyNumberFormat="1" applyFont="1" applyFill="1" applyBorder="1" applyAlignment="1" applyProtection="1">
      <alignment horizontal="center"/>
      <protection locked="0"/>
    </xf>
    <xf numFmtId="3" fontId="42" fillId="0" borderId="0" xfId="218" applyNumberFormat="1" applyFont="1" applyFill="1" applyBorder="1" applyAlignment="1">
      <alignment horizontal="left"/>
    </xf>
    <xf numFmtId="179" fontId="42" fillId="0" borderId="0" xfId="18" applyNumberFormat="1" applyFont="1" applyFill="1" applyBorder="1" applyAlignment="1">
      <alignment/>
    </xf>
    <xf numFmtId="10" fontId="63" fillId="0" borderId="0" xfId="15" applyNumberFormat="1" applyFont="1" applyFill="1" applyBorder="1" applyAlignment="1">
      <alignment/>
    </xf>
    <xf numFmtId="10" fontId="49" fillId="0" borderId="0" xfId="218" applyNumberFormat="1" applyFont="1" applyFill="1" applyBorder="1" applyAlignment="1">
      <alignment/>
    </xf>
    <xf numFmtId="3" fontId="49" fillId="0" borderId="0" xfId="218" applyNumberFormat="1" applyFont="1" applyFill="1" applyBorder="1" applyAlignment="1">
      <alignment/>
    </xf>
    <xf numFmtId="165" fontId="49" fillId="0" borderId="0" xfId="218" applyNumberFormat="1" applyFont="1" applyFill="1" applyBorder="1" applyAlignment="1">
      <alignment/>
    </xf>
    <xf numFmtId="10" fontId="42" fillId="0" borderId="0" xfId="218" applyNumberFormat="1" applyFont="1" applyFill="1" applyBorder="1" applyAlignment="1">
      <alignment/>
    </xf>
    <xf numFmtId="43" fontId="63" fillId="0" borderId="0" xfId="18" applyFont="1" applyFill="1" applyBorder="1" applyAlignment="1">
      <alignment/>
    </xf>
    <xf numFmtId="43" fontId="42" fillId="0" borderId="0" xfId="18" applyFont="1" applyFill="1" applyBorder="1" applyAlignment="1">
      <alignment horizontal="center"/>
    </xf>
    <xf numFmtId="49" fontId="49" fillId="0" borderId="0" xfId="218" applyNumberFormat="1" applyFont="1" applyFill="1" applyBorder="1" applyAlignment="1">
      <alignment horizontal="center"/>
    </xf>
    <xf numFmtId="174" fontId="49" fillId="0" borderId="0" xfId="218" applyFont="1" applyFill="1" applyBorder="1" applyAlignment="1">
      <alignment/>
    </xf>
    <xf numFmtId="3" fontId="49" fillId="0" borderId="0" xfId="218" applyNumberFormat="1" applyFont="1" applyFill="1" applyBorder="1" applyAlignment="1">
      <alignment horizontal="left"/>
    </xf>
    <xf numFmtId="43" fontId="49" fillId="0" borderId="0" xfId="18" applyFont="1" applyFill="1" applyBorder="1" applyAlignment="1">
      <alignment/>
    </xf>
    <xf numFmtId="10" fontId="49" fillId="0" borderId="0" xfId="15" applyNumberFormat="1" applyFont="1" applyFill="1" applyBorder="1" applyAlignment="1">
      <alignment/>
    </xf>
    <xf numFmtId="0" fontId="42" fillId="0" borderId="0" xfId="218" applyNumberFormat="1" applyFont="1" applyFill="1" applyBorder="1" applyAlignment="1">
      <alignment horizontal="fill"/>
    </xf>
    <xf numFmtId="174" fontId="73" fillId="0" borderId="0" xfId="218" applyFont="1" applyFill="1" applyBorder="1" applyAlignment="1">
      <alignment/>
    </xf>
    <xf numFmtId="3" fontId="73" fillId="0" borderId="0" xfId="218" applyNumberFormat="1" applyFont="1" applyFill="1" applyBorder="1" applyAlignment="1">
      <alignment/>
    </xf>
    <xf numFmtId="164" fontId="42" fillId="0" borderId="0" xfId="218" applyNumberFormat="1" applyFont="1" applyFill="1" applyBorder="1" applyAlignment="1">
      <alignment horizontal="left"/>
    </xf>
    <xf numFmtId="164" fontId="42" fillId="0" borderId="0" xfId="218" applyNumberFormat="1" applyFont="1" applyFill="1" applyBorder="1" applyAlignment="1">
      <alignment horizontal="center"/>
    </xf>
    <xf numFmtId="170" fontId="42" fillId="0" borderId="0" xfId="218" applyNumberFormat="1" applyFont="1" applyFill="1" applyBorder="1" applyAlignment="1">
      <alignment/>
    </xf>
    <xf numFmtId="0" fontId="73" fillId="0" borderId="0" xfId="218" applyNumberFormat="1" applyFont="1" applyFill="1" applyBorder="1">
      <alignment/>
    </xf>
    <xf numFmtId="49" fontId="42" fillId="0" borderId="0" xfId="218" applyNumberFormat="1" applyFont="1" applyFill="1" applyBorder="1" applyAlignment="1">
      <alignment horizontal="left"/>
    </xf>
    <xf numFmtId="0" fontId="42" fillId="0" borderId="0" xfId="218" applyNumberFormat="1" applyFont="1" applyFill="1" applyBorder="1" applyAlignment="1">
      <alignment horizontal="right"/>
    </xf>
    <xf numFmtId="177" fontId="49" fillId="0" borderId="0" xfId="218" applyNumberFormat="1" applyFont="1" applyFill="1" applyBorder="1" applyAlignment="1">
      <alignment horizontal="center"/>
    </xf>
    <xf numFmtId="174" fontId="49" fillId="0" borderId="28" xfId="218" applyFont="1" applyFill="1" applyBorder="1" applyAlignment="1">
      <alignment horizontal="center" wrapText="1"/>
    </xf>
    <xf numFmtId="174" fontId="49" fillId="0" borderId="7" xfId="218" applyFont="1" applyFill="1" applyBorder="1" applyAlignment="1">
      <alignment/>
    </xf>
    <xf numFmtId="174" fontId="49" fillId="0" borderId="7" xfId="218" applyFont="1" applyFill="1" applyBorder="1" applyAlignment="1">
      <alignment horizontal="center" wrapText="1"/>
    </xf>
    <xf numFmtId="0" fontId="49" fillId="0" borderId="7" xfId="218" applyNumberFormat="1" applyFont="1" applyFill="1" applyBorder="1" applyAlignment="1">
      <alignment horizontal="center" wrapText="1"/>
    </xf>
    <xf numFmtId="174" fontId="49" fillId="0" borderId="9" xfId="218" applyFont="1" applyFill="1" applyBorder="1" applyAlignment="1">
      <alignment horizontal="center" wrapText="1"/>
    </xf>
    <xf numFmtId="3" fontId="49" fillId="0" borderId="9" xfId="218" applyNumberFormat="1" applyFont="1" applyFill="1" applyBorder="1" applyAlignment="1">
      <alignment horizontal="center" wrapText="1"/>
    </xf>
    <xf numFmtId="0" fontId="42" fillId="0" borderId="28" xfId="218" applyNumberFormat="1" applyFont="1" applyFill="1" applyBorder="1">
      <alignment/>
    </xf>
    <xf numFmtId="0" fontId="42" fillId="0" borderId="7" xfId="218" applyNumberFormat="1" applyFont="1" applyFill="1" applyBorder="1">
      <alignment/>
    </xf>
    <xf numFmtId="0" fontId="42" fillId="0" borderId="7" xfId="218" applyNumberFormat="1" applyFont="1" applyFill="1" applyBorder="1" applyAlignment="1">
      <alignment horizontal="center"/>
    </xf>
    <xf numFmtId="0" fontId="42" fillId="0" borderId="9" xfId="218" applyNumberFormat="1" applyFont="1" applyFill="1" applyBorder="1" applyAlignment="1">
      <alignment horizontal="center"/>
    </xf>
    <xf numFmtId="3" fontId="42" fillId="0" borderId="9" xfId="218" applyNumberFormat="1" applyFont="1" applyFill="1" applyBorder="1" applyAlignment="1">
      <alignment horizontal="center" wrapText="1"/>
    </xf>
    <xf numFmtId="3" fontId="42" fillId="0" borderId="7" xfId="218" applyNumberFormat="1" applyFont="1" applyFill="1" applyBorder="1" applyAlignment="1">
      <alignment horizontal="center"/>
    </xf>
    <xf numFmtId="0" fontId="42" fillId="0" borderId="10" xfId="218" applyNumberFormat="1" applyFont="1" applyFill="1" applyBorder="1">
      <alignment/>
    </xf>
    <xf numFmtId="0" fontId="42" fillId="0" borderId="11" xfId="218" applyNumberFormat="1" applyFont="1" applyFill="1" applyBorder="1">
      <alignment/>
    </xf>
    <xf numFmtId="3" fontId="42" fillId="0" borderId="11" xfId="218" applyNumberFormat="1" applyFont="1" applyFill="1" applyBorder="1" applyAlignment="1">
      <alignment/>
    </xf>
    <xf numFmtId="174" fontId="42" fillId="0" borderId="10" xfId="226" applyFont="1" applyFill="1" applyBorder="1" applyAlignment="1">
      <alignment/>
    </xf>
    <xf numFmtId="174" fontId="42" fillId="0" borderId="0" xfId="226" applyFont="1" applyFill="1" applyBorder="1" applyAlignment="1">
      <alignment/>
    </xf>
    <xf numFmtId="174" fontId="42" fillId="61" borderId="0" xfId="226" applyFont="1" applyFill="1" applyBorder="1" applyAlignment="1">
      <alignment/>
    </xf>
    <xf numFmtId="0" fontId="42" fillId="61" borderId="0" xfId="18" applyNumberFormat="1" applyFont="1" applyFill="1" applyBorder="1" applyAlignment="1">
      <alignment/>
    </xf>
    <xf numFmtId="176" fontId="42" fillId="61" borderId="0" xfId="16" applyNumberFormat="1" applyFont="1" applyFill="1" applyBorder="1" applyAlignment="1">
      <alignment/>
    </xf>
    <xf numFmtId="43" fontId="42" fillId="0" borderId="11" xfId="18" applyFont="1" applyFill="1" applyBorder="1" applyAlignment="1">
      <alignment/>
    </xf>
    <xf numFmtId="0" fontId="42" fillId="61" borderId="0" xfId="18" applyNumberFormat="1" applyFont="1" applyFill="1" applyBorder="1" applyAlignment="1">
      <alignment horizontal="right"/>
    </xf>
    <xf numFmtId="174" fontId="42" fillId="0" borderId="10" xfId="218" applyFont="1" applyFill="1" applyBorder="1" applyAlignment="1">
      <alignment/>
    </xf>
    <xf numFmtId="174" fontId="42" fillId="0" borderId="29" xfId="218" applyFont="1" applyFill="1" applyBorder="1" applyAlignment="1">
      <alignment/>
    </xf>
    <xf numFmtId="175" fontId="42" fillId="0" borderId="0" xfId="18" applyNumberFormat="1" applyFont="1" applyFill="1" applyBorder="1" applyAlignment="1">
      <alignment horizontal="center"/>
    </xf>
    <xf numFmtId="1" fontId="42" fillId="0" borderId="0" xfId="18" applyNumberFormat="1" applyFont="1" applyFill="1" applyBorder="1" applyAlignment="1">
      <alignment horizontal="center"/>
    </xf>
    <xf numFmtId="174" fontId="42" fillId="0" borderId="8" xfId="218" applyFont="1" applyFill="1" applyBorder="1" applyAlignment="1">
      <alignment/>
    </xf>
    <xf numFmtId="174" fontId="42" fillId="0" borderId="0" xfId="218" applyFont="1" applyFill="1" applyBorder="1" applyAlignment="1">
      <alignment horizontal="center" vertical="top"/>
    </xf>
    <xf numFmtId="49" fontId="72" fillId="0" borderId="0" xfId="0" applyNumberFormat="1" applyFont="1" applyAlignment="1">
      <alignment horizontal="center"/>
    </xf>
    <xf numFmtId="3" fontId="72" fillId="0" borderId="0" xfId="228" applyNumberFormat="1" applyFont="1" applyAlignment="1">
      <alignment/>
    </xf>
    <xf numFmtId="3" fontId="42" fillId="0" borderId="0" xfId="228" applyNumberFormat="1" applyFont="1" applyAlignment="1">
      <alignment wrapText="1"/>
    </xf>
    <xf numFmtId="0" fontId="42" fillId="0" borderId="0" xfId="209" applyFont="1">
      <alignment/>
      <protection/>
    </xf>
    <xf numFmtId="0" fontId="42" fillId="0" borderId="0" xfId="209" applyFont="1" applyAlignment="1">
      <alignment horizontal="center"/>
      <protection/>
    </xf>
    <xf numFmtId="0" fontId="42" fillId="0" borderId="0" xfId="209" applyFont="1" applyFill="1" applyAlignment="1">
      <alignment horizontal="center"/>
      <protection/>
    </xf>
    <xf numFmtId="0" fontId="42" fillId="0" borderId="3" xfId="209" applyFont="1" applyBorder="1">
      <alignment/>
      <protection/>
    </xf>
    <xf numFmtId="0" fontId="42" fillId="0" borderId="0" xfId="209" applyFont="1" applyAlignment="1">
      <alignment horizontal="center" wrapText="1"/>
      <protection/>
    </xf>
    <xf numFmtId="43" fontId="42" fillId="0" borderId="0" xfId="18" applyFont="1" applyFill="1"/>
    <xf numFmtId="43" fontId="42" fillId="0" borderId="0" xfId="209" applyNumberFormat="1" applyFont="1">
      <alignment/>
      <protection/>
    </xf>
    <xf numFmtId="176" fontId="42" fillId="0" borderId="3" xfId="16" applyNumberFormat="1" applyFont="1" applyBorder="1"/>
    <xf numFmtId="0" fontId="42" fillId="0" borderId="0" xfId="209" applyFont="1" applyAlignment="1">
      <alignment horizontal="center" vertical="center" wrapText="1"/>
      <protection/>
    </xf>
    <xf numFmtId="0" fontId="42" fillId="0" borderId="0" xfId="209" applyFont="1" applyFill="1" applyAlignment="1">
      <alignment horizontal="center" vertical="center" wrapText="1"/>
      <protection/>
    </xf>
    <xf numFmtId="174" fontId="42" fillId="0" borderId="0" xfId="0" applyFont="1" applyAlignment="1">
      <alignment horizontal="center" vertical="center" wrapText="1"/>
    </xf>
    <xf numFmtId="0" fontId="42" fillId="0" borderId="0" xfId="209" applyFont="1" applyAlignment="1">
      <alignment wrapText="1"/>
      <protection/>
    </xf>
    <xf numFmtId="0" fontId="71" fillId="0" borderId="0" xfId="209" applyFont="1">
      <alignment/>
      <protection/>
    </xf>
    <xf numFmtId="0" fontId="42" fillId="0" borderId="0" xfId="209" applyFont="1" applyAlignment="1">
      <alignment horizontal="left" wrapText="1"/>
      <protection/>
    </xf>
    <xf numFmtId="0" fontId="42" fillId="0" borderId="0" xfId="205" applyFont="1">
      <alignment/>
      <protection/>
    </xf>
    <xf numFmtId="0" fontId="42" fillId="0" borderId="0" xfId="205" applyFont="1" applyAlignment="1">
      <alignment horizontal="right"/>
      <protection/>
    </xf>
    <xf numFmtId="0" fontId="42" fillId="0" borderId="0" xfId="228" applyNumberFormat="1" applyFont="1" applyAlignment="1" applyProtection="1">
      <alignment horizontal="center"/>
      <protection locked="0"/>
    </xf>
    <xf numFmtId="0" fontId="42" fillId="0" borderId="0" xfId="228" applyNumberFormat="1" applyFont="1" applyFill="1" applyAlignment="1" applyProtection="1">
      <alignment/>
      <protection locked="0"/>
    </xf>
    <xf numFmtId="0" fontId="42" fillId="0" borderId="0" xfId="228" applyNumberFormat="1" applyFont="1" applyFill="1" applyProtection="1">
      <alignment/>
      <protection locked="0"/>
    </xf>
    <xf numFmtId="0" fontId="42" fillId="61" borderId="0" xfId="205" applyFont="1" applyFill="1">
      <alignment/>
      <protection/>
    </xf>
    <xf numFmtId="0" fontId="42" fillId="61" borderId="0" xfId="228" applyNumberFormat="1" applyFont="1" applyFill="1">
      <alignment/>
    </xf>
    <xf numFmtId="0" fontId="42" fillId="0" borderId="0" xfId="228" applyNumberFormat="1" applyFont="1" applyProtection="1">
      <alignment/>
      <protection locked="0"/>
    </xf>
    <xf numFmtId="0" fontId="42" fillId="0" borderId="0" xfId="228" applyNumberFormat="1" applyFont="1">
      <alignment/>
    </xf>
    <xf numFmtId="0" fontId="78" fillId="0" borderId="0" xfId="228" applyNumberFormat="1" applyFont="1">
      <alignment/>
    </xf>
    <xf numFmtId="49" fontId="42" fillId="0" borderId="0" xfId="228" applyNumberFormat="1" applyFont="1" applyAlignment="1">
      <alignment/>
    </xf>
    <xf numFmtId="49" fontId="42" fillId="0" borderId="0" xfId="228" applyNumberFormat="1" applyFont="1" applyAlignment="1">
      <alignment horizontal="center"/>
    </xf>
    <xf numFmtId="0" fontId="42" fillId="0" borderId="0" xfId="228" applyNumberFormat="1" applyFont="1" applyAlignment="1">
      <alignment horizontal="center"/>
    </xf>
    <xf numFmtId="49" fontId="42" fillId="0" borderId="0" xfId="228" applyNumberFormat="1" applyFont="1">
      <alignment/>
    </xf>
    <xf numFmtId="3" fontId="42" fillId="0" borderId="0" xfId="228" applyNumberFormat="1" applyFont="1">
      <alignment/>
    </xf>
    <xf numFmtId="42" fontId="42" fillId="0" borderId="0" xfId="205" applyNumberFormat="1" applyFont="1">
      <alignment/>
      <protection/>
    </xf>
    <xf numFmtId="0" fontId="42" fillId="0" borderId="0" xfId="228" applyNumberFormat="1" applyFont="1" applyFill="1">
      <alignment/>
    </xf>
    <xf numFmtId="0" fontId="42" fillId="0" borderId="8" xfId="228" applyNumberFormat="1" applyFont="1" applyBorder="1" applyAlignment="1" applyProtection="1">
      <alignment horizontal="centerContinuous"/>
      <protection locked="0"/>
    </xf>
    <xf numFmtId="43" fontId="42" fillId="0" borderId="0" xfId="18" applyFont="1" applyFill="1" applyAlignment="1">
      <alignment/>
    </xf>
    <xf numFmtId="3" fontId="42" fillId="0" borderId="0" xfId="228" applyNumberFormat="1" applyFont="1" applyFill="1" applyBorder="1">
      <alignment/>
    </xf>
    <xf numFmtId="3" fontId="42" fillId="0" borderId="0" xfId="228" applyNumberFormat="1" applyFont="1" applyAlignment="1">
      <alignment horizontal="left"/>
    </xf>
    <xf numFmtId="3" fontId="42" fillId="0" borderId="0" xfId="228" applyNumberFormat="1" applyFont="1" applyAlignment="1">
      <alignment horizontal="fill"/>
    </xf>
    <xf numFmtId="166" fontId="42" fillId="0" borderId="0" xfId="228" applyNumberFormat="1" applyFont="1" applyAlignment="1">
      <alignment/>
    </xf>
    <xf numFmtId="42" fontId="42" fillId="0" borderId="30" xfId="228" applyNumberFormat="1" applyFont="1" applyBorder="1" applyAlignment="1" applyProtection="1">
      <alignment horizontal="right"/>
      <protection locked="0"/>
    </xf>
    <xf numFmtId="170" fontId="73" fillId="0" borderId="0" xfId="0" applyNumberFormat="1" applyFont="1" applyAlignment="1">
      <alignment/>
    </xf>
    <xf numFmtId="174" fontId="73" fillId="0" borderId="0" xfId="0" applyFont="1" applyAlignment="1">
      <alignment/>
    </xf>
    <xf numFmtId="0" fontId="42" fillId="0" borderId="0" xfId="223" applyNumberFormat="1" applyFont="1" applyAlignment="1" applyProtection="1">
      <alignment horizontal="center"/>
      <protection locked="0"/>
    </xf>
    <xf numFmtId="0" fontId="42" fillId="0" borderId="0" xfId="223" applyNumberFormat="1" applyFont="1" applyAlignment="1">
      <alignment/>
    </xf>
    <xf numFmtId="0" fontId="42" fillId="0" borderId="0" xfId="223" applyNumberFormat="1" applyFont="1">
      <alignment/>
    </xf>
    <xf numFmtId="0" fontId="42" fillId="0" borderId="0" xfId="223" applyNumberFormat="1" applyFont="1" applyBorder="1" applyAlignment="1">
      <alignment/>
    </xf>
    <xf numFmtId="166" fontId="42" fillId="0" borderId="0" xfId="223" applyNumberFormat="1" applyFont="1" applyAlignment="1">
      <alignment/>
    </xf>
    <xf numFmtId="0" fontId="42" fillId="0" borderId="0" xfId="228" applyNumberFormat="1" applyFont="1" applyFill="1" applyBorder="1">
      <alignment/>
    </xf>
    <xf numFmtId="0" fontId="42" fillId="0" borderId="0" xfId="223" applyFont="1" applyAlignment="1">
      <alignment/>
    </xf>
    <xf numFmtId="3" fontId="42" fillId="0" borderId="0" xfId="223" applyNumberFormat="1" applyFont="1" applyAlignment="1">
      <alignment/>
    </xf>
    <xf numFmtId="42" fontId="42" fillId="0" borderId="30" xfId="223" applyNumberFormat="1" applyFont="1" applyBorder="1" applyAlignment="1" applyProtection="1">
      <alignment horizontal="right"/>
      <protection locked="0"/>
    </xf>
    <xf numFmtId="0" fontId="42" fillId="0" borderId="0" xfId="228" applyNumberFormat="1" applyFont="1" applyFill="1" applyBorder="1" applyAlignment="1" applyProtection="1">
      <alignment horizontal="center"/>
      <protection locked="0"/>
    </xf>
    <xf numFmtId="174" fontId="42" fillId="0" borderId="0" xfId="228" applyFont="1" applyFill="1" applyBorder="1" applyAlignment="1">
      <alignment/>
    </xf>
    <xf numFmtId="0" fontId="42" fillId="0" borderId="0" xfId="228" applyNumberFormat="1" applyFont="1" applyFill="1" applyBorder="1" applyProtection="1">
      <alignment/>
      <protection locked="0"/>
    </xf>
    <xf numFmtId="0" fontId="42" fillId="0" borderId="0" xfId="228" applyNumberFormat="1" applyFont="1" applyFill="1" applyBorder="1" applyAlignment="1">
      <alignment/>
    </xf>
    <xf numFmtId="0" fontId="42" fillId="0" borderId="0" xfId="228" applyNumberFormat="1" applyFont="1" applyFill="1" applyBorder="1" applyAlignment="1" applyProtection="1">
      <alignment/>
      <protection locked="0"/>
    </xf>
    <xf numFmtId="168" fontId="42" fillId="0" borderId="0" xfId="205" applyNumberFormat="1" applyFont="1" applyFill="1" applyBorder="1">
      <alignment/>
      <protection/>
    </xf>
    <xf numFmtId="168" fontId="42" fillId="0" borderId="0" xfId="228" applyNumberFormat="1" applyFont="1" applyFill="1" applyBorder="1">
      <alignment/>
    </xf>
    <xf numFmtId="168" fontId="42" fillId="0" borderId="0" xfId="228" applyNumberFormat="1" applyFont="1" applyFill="1" applyBorder="1" applyAlignment="1">
      <alignment horizontal="center"/>
    </xf>
    <xf numFmtId="174" fontId="42" fillId="0" borderId="0" xfId="228" applyFont="1" applyFill="1" applyBorder="1" applyAlignment="1">
      <alignment horizontal="center"/>
    </xf>
    <xf numFmtId="0" fontId="42" fillId="0" borderId="0" xfId="228" applyNumberFormat="1" applyFont="1" applyFill="1" applyBorder="1" applyAlignment="1">
      <alignment horizontal="left"/>
    </xf>
    <xf numFmtId="173" fontId="42" fillId="0" borderId="0" xfId="205" applyNumberFormat="1" applyFont="1" applyFill="1" applyBorder="1" applyAlignment="1">
      <alignment/>
      <protection/>
    </xf>
    <xf numFmtId="173" fontId="42" fillId="0" borderId="0" xfId="228" applyNumberFormat="1" applyFont="1" applyFill="1" applyBorder="1" applyProtection="1">
      <alignment/>
      <protection locked="0"/>
    </xf>
    <xf numFmtId="173" fontId="42" fillId="0" borderId="0" xfId="228" applyNumberFormat="1" applyFont="1" applyFill="1" applyProtection="1">
      <alignment/>
      <protection locked="0"/>
    </xf>
    <xf numFmtId="173" fontId="42" fillId="0" borderId="0" xfId="228" applyNumberFormat="1" applyFont="1" applyProtection="1">
      <alignment/>
      <protection locked="0"/>
    </xf>
    <xf numFmtId="169" fontId="42" fillId="0" borderId="0" xfId="228" applyNumberFormat="1" applyFont="1">
      <alignment/>
    </xf>
    <xf numFmtId="0" fontId="42" fillId="0" borderId="0" xfId="228" applyNumberFormat="1" applyFont="1" applyAlignment="1">
      <alignment horizontal="right"/>
    </xf>
    <xf numFmtId="0" fontId="71" fillId="0" borderId="0" xfId="228" applyNumberFormat="1" applyFont="1" applyAlignment="1">
      <alignment/>
    </xf>
    <xf numFmtId="3" fontId="49" fillId="0" borderId="0" xfId="228" applyNumberFormat="1" applyFont="1" applyAlignment="1">
      <alignment horizontal="center"/>
    </xf>
    <xf numFmtId="0" fontId="49" fillId="0" borderId="0" xfId="228" applyNumberFormat="1" applyFont="1" applyAlignment="1" applyProtection="1">
      <alignment horizontal="center"/>
      <protection locked="0"/>
    </xf>
    <xf numFmtId="174" fontId="49" fillId="0" borderId="0" xfId="228" applyFont="1" applyAlignment="1">
      <alignment horizontal="center"/>
    </xf>
    <xf numFmtId="3" fontId="49" fillId="0" borderId="0" xfId="228" applyNumberFormat="1" applyFont="1" applyAlignment="1">
      <alignment/>
    </xf>
    <xf numFmtId="0" fontId="49" fillId="0" borderId="0" xfId="228" applyNumberFormat="1" applyFont="1" applyAlignment="1">
      <alignment/>
    </xf>
    <xf numFmtId="175" fontId="42" fillId="61" borderId="0" xfId="18" applyNumberFormat="1" applyFont="1" applyFill="1" applyAlignment="1">
      <alignment/>
    </xf>
    <xf numFmtId="165" fontId="42" fillId="0" borderId="0" xfId="228" applyNumberFormat="1" applyFont="1" applyAlignment="1">
      <alignment/>
    </xf>
    <xf numFmtId="175" fontId="42" fillId="61" borderId="8" xfId="18" applyNumberFormat="1" applyFont="1" applyFill="1" applyBorder="1" applyAlignment="1">
      <alignment/>
    </xf>
    <xf numFmtId="175" fontId="42" fillId="0" borderId="8" xfId="18" applyNumberFormat="1" applyFont="1" applyBorder="1" applyAlignment="1">
      <alignment/>
    </xf>
    <xf numFmtId="43" fontId="42" fillId="0" borderId="0" xfId="18" applyFont="1" applyAlignment="1">
      <alignment horizontal="center"/>
    </xf>
    <xf numFmtId="164" fontId="42" fillId="0" borderId="0" xfId="228" applyNumberFormat="1" applyFont="1" applyAlignment="1">
      <alignment horizontal="center"/>
    </xf>
    <xf numFmtId="165" fontId="42" fillId="0" borderId="0" xfId="205" applyNumberFormat="1" applyFont="1" applyFill="1" applyAlignment="1">
      <alignment horizontal="right"/>
      <protection/>
    </xf>
    <xf numFmtId="175" fontId="42" fillId="61" borderId="0" xfId="18" applyNumberFormat="1" applyFont="1" applyFill="1" applyBorder="1" applyAlignment="1">
      <alignment/>
    </xf>
    <xf numFmtId="185" fontId="42" fillId="0" borderId="0" xfId="18" applyNumberFormat="1" applyFont="1" applyAlignment="1">
      <alignment/>
    </xf>
    <xf numFmtId="3" fontId="42" fillId="0" borderId="0" xfId="223" applyNumberFormat="1" applyFont="1" applyBorder="1" applyAlignment="1">
      <alignment/>
    </xf>
    <xf numFmtId="3" fontId="42" fillId="0" borderId="0" xfId="223" applyNumberFormat="1" applyFont="1" applyFill="1" applyBorder="1" applyAlignment="1">
      <alignment/>
    </xf>
    <xf numFmtId="185" fontId="42" fillId="0" borderId="0" xfId="18" applyNumberFormat="1" applyFont="1" applyFill="1" applyBorder="1" applyAlignment="1">
      <alignment/>
    </xf>
    <xf numFmtId="0" fontId="42" fillId="0" borderId="0" xfId="223" applyFont="1" applyFill="1" applyBorder="1" applyAlignment="1">
      <alignment/>
    </xf>
    <xf numFmtId="3" fontId="42" fillId="0" borderId="0" xfId="223" applyNumberFormat="1" applyFont="1" applyFill="1" applyAlignment="1">
      <alignment/>
    </xf>
    <xf numFmtId="185" fontId="42" fillId="0" borderId="0" xfId="18" applyNumberFormat="1" applyFont="1" applyBorder="1" applyAlignment="1">
      <alignment/>
    </xf>
    <xf numFmtId="3" fontId="42" fillId="0" borderId="0" xfId="228" applyNumberFormat="1" applyFont="1" applyAlignment="1" quotePrefix="1">
      <alignment horizontal="left"/>
    </xf>
    <xf numFmtId="175" fontId="42" fillId="0" borderId="0" xfId="18" applyNumberFormat="1" applyFont="1" applyFill="1" applyAlignment="1">
      <alignment/>
    </xf>
    <xf numFmtId="3" fontId="42" fillId="0" borderId="0" xfId="205" applyNumberFormat="1" applyFont="1" applyFill="1" applyAlignment="1">
      <alignment/>
      <protection/>
    </xf>
    <xf numFmtId="0" fontId="42" fillId="0" borderId="0" xfId="205" applyNumberFormat="1" applyFont="1">
      <alignment/>
      <protection/>
    </xf>
    <xf numFmtId="175" fontId="42" fillId="0" borderId="30" xfId="18" applyNumberFormat="1" applyFont="1" applyBorder="1" applyAlignment="1">
      <alignment/>
    </xf>
    <xf numFmtId="164" fontId="42" fillId="0" borderId="0" xfId="205" applyNumberFormat="1" applyFont="1" applyAlignment="1">
      <alignment horizontal="center"/>
      <protection/>
    </xf>
    <xf numFmtId="3" fontId="42" fillId="0" borderId="0" xfId="205" applyNumberFormat="1" applyFont="1" applyBorder="1" applyAlignment="1">
      <alignment/>
      <protection/>
    </xf>
    <xf numFmtId="3" fontId="42" fillId="0" borderId="0" xfId="228" applyNumberFormat="1" applyFont="1" applyAlignment="1">
      <alignment horizontal="right"/>
    </xf>
    <xf numFmtId="0" fontId="42" fillId="0" borderId="0" xfId="223" applyNumberFormat="1" applyFont="1" applyFill="1" applyAlignment="1">
      <alignment/>
    </xf>
    <xf numFmtId="172" fontId="42" fillId="0" borderId="0" xfId="228" applyNumberFormat="1" applyFont="1" applyFill="1" applyAlignment="1">
      <alignment horizontal="left"/>
    </xf>
    <xf numFmtId="184" fontId="42" fillId="0" borderId="0" xfId="18" applyNumberFormat="1" applyFont="1" applyAlignment="1">
      <alignment/>
    </xf>
    <xf numFmtId="184" fontId="42" fillId="0" borderId="0" xfId="18" applyNumberFormat="1" applyFont="1" applyFill="1" applyAlignment="1">
      <alignment/>
    </xf>
    <xf numFmtId="184" fontId="42" fillId="0" borderId="0" xfId="18" applyNumberFormat="1" applyFont="1" applyFill="1" applyBorder="1" applyAlignment="1">
      <alignment/>
    </xf>
    <xf numFmtId="175" fontId="42" fillId="0" borderId="8" xfId="18" applyNumberFormat="1" applyFont="1" applyFill="1" applyBorder="1" applyAlignment="1">
      <alignment/>
    </xf>
    <xf numFmtId="0" fontId="42" fillId="0" borderId="0" xfId="228" applyNumberFormat="1" applyFont="1" applyAlignment="1">
      <alignment wrapText="1"/>
    </xf>
    <xf numFmtId="0" fontId="42" fillId="0" borderId="0" xfId="228" applyNumberFormat="1" applyFont="1" applyAlignment="1" quotePrefix="1">
      <alignment horizontal="left"/>
    </xf>
    <xf numFmtId="175" fontId="42" fillId="0" borderId="0" xfId="18" applyNumberFormat="1" applyFont="1" applyFill="1" applyAlignment="1">
      <alignment horizontal="right"/>
    </xf>
    <xf numFmtId="167" fontId="42" fillId="0" borderId="0" xfId="228" applyNumberFormat="1" applyFont="1" applyAlignment="1">
      <alignment/>
    </xf>
    <xf numFmtId="166" fontId="42" fillId="0" borderId="0" xfId="205" applyNumberFormat="1" applyFont="1" applyAlignment="1">
      <alignment horizontal="center"/>
      <protection/>
    </xf>
    <xf numFmtId="164" fontId="42" fillId="0" borderId="0" xfId="228" applyNumberFormat="1" applyFont="1" applyAlignment="1" applyProtection="1">
      <alignment horizontal="left"/>
      <protection locked="0"/>
    </xf>
    <xf numFmtId="175" fontId="42" fillId="0" borderId="26" xfId="18" applyNumberFormat="1" applyFont="1" applyBorder="1" applyAlignment="1">
      <alignment/>
    </xf>
    <xf numFmtId="0" fontId="42" fillId="0" borderId="0" xfId="205" applyNumberFormat="1" applyFont="1" applyAlignment="1">
      <alignment/>
      <protection/>
    </xf>
    <xf numFmtId="3" fontId="42" fillId="0" borderId="0" xfId="205" applyNumberFormat="1" applyFont="1" applyFill="1" applyBorder="1" applyAlignment="1">
      <alignment/>
      <protection/>
    </xf>
    <xf numFmtId="174" fontId="42" fillId="0" borderId="0" xfId="228" applyFont="1" applyAlignment="1">
      <alignment horizontal="right"/>
    </xf>
    <xf numFmtId="0" fontId="72" fillId="0" borderId="0" xfId="228" applyNumberFormat="1" applyFont="1" applyAlignment="1" applyProtection="1">
      <alignment horizontal="center"/>
      <protection locked="0"/>
    </xf>
    <xf numFmtId="0" fontId="42" fillId="0" borderId="8" xfId="228" applyNumberFormat="1" applyFont="1" applyFill="1" applyBorder="1" applyProtection="1">
      <alignment/>
      <protection locked="0"/>
    </xf>
    <xf numFmtId="0" fontId="42" fillId="0" borderId="8" xfId="228" applyNumberFormat="1" applyFont="1" applyFill="1" applyBorder="1">
      <alignment/>
    </xf>
    <xf numFmtId="3" fontId="42" fillId="0" borderId="0" xfId="228" applyNumberFormat="1" applyFont="1" applyFill="1" applyAlignment="1">
      <alignment horizontal="center"/>
    </xf>
    <xf numFmtId="49" fontId="42" fillId="0" borderId="0" xfId="228" applyNumberFormat="1" applyFont="1" applyFill="1">
      <alignment/>
    </xf>
    <xf numFmtId="49" fontId="42" fillId="0" borderId="0" xfId="228" applyNumberFormat="1" applyFont="1" applyFill="1" applyAlignment="1">
      <alignment/>
    </xf>
    <xf numFmtId="49" fontId="42" fillId="0" borderId="0" xfId="228" applyNumberFormat="1" applyFont="1" applyFill="1" applyAlignment="1">
      <alignment horizontal="center"/>
    </xf>
    <xf numFmtId="184" fontId="42" fillId="0" borderId="0" xfId="18" applyNumberFormat="1" applyFont="1" applyFill="1" applyAlignment="1">
      <alignment horizontal="right"/>
    </xf>
    <xf numFmtId="3" fontId="42" fillId="0" borderId="8" xfId="228" applyNumberFormat="1" applyFont="1" applyBorder="1" applyAlignment="1">
      <alignment/>
    </xf>
    <xf numFmtId="43" fontId="42" fillId="0" borderId="0" xfId="18" applyNumberFormat="1" applyFont="1" applyAlignment="1">
      <alignment/>
    </xf>
    <xf numFmtId="4" fontId="42" fillId="0" borderId="0" xfId="228" applyNumberFormat="1" applyFont="1" applyAlignment="1">
      <alignment/>
    </xf>
    <xf numFmtId="3" fontId="42" fillId="0" borderId="0" xfId="205" applyNumberFormat="1" applyFont="1" applyBorder="1" applyAlignment="1">
      <alignment horizontal="center"/>
      <protection/>
    </xf>
    <xf numFmtId="0" fontId="42" fillId="0" borderId="8" xfId="205" applyNumberFormat="1" applyFont="1" applyBorder="1" applyAlignment="1">
      <alignment horizontal="center"/>
      <protection/>
    </xf>
    <xf numFmtId="0" fontId="42" fillId="0" borderId="0" xfId="205" applyNumberFormat="1" applyFont="1" applyAlignment="1">
      <alignment horizontal="center"/>
      <protection/>
    </xf>
    <xf numFmtId="166" fontId="42" fillId="0" borderId="0" xfId="228" applyNumberFormat="1" applyFont="1" applyAlignment="1" applyProtection="1">
      <alignment horizontal="center"/>
      <protection locked="0"/>
    </xf>
    <xf numFmtId="185" fontId="42" fillId="0" borderId="0" xfId="18" applyNumberFormat="1" applyFont="1" applyAlignment="1">
      <alignment horizontal="center"/>
    </xf>
    <xf numFmtId="0" fontId="42" fillId="0" borderId="8" xfId="228" applyNumberFormat="1" applyFont="1" applyBorder="1" applyAlignment="1">
      <alignment/>
    </xf>
    <xf numFmtId="174" fontId="42" fillId="0" borderId="0" xfId="228" applyFont="1" applyFill="1" applyAlignment="1">
      <alignment horizontal="center"/>
    </xf>
    <xf numFmtId="3" fontId="42" fillId="0" borderId="0" xfId="228" applyNumberFormat="1" applyFont="1" applyAlignment="1" quotePrefix="1">
      <alignment/>
    </xf>
    <xf numFmtId="175" fontId="42" fillId="0" borderId="0" xfId="18" applyNumberFormat="1" applyFont="1" applyFill="1" applyAlignment="1">
      <alignment horizontal="center"/>
    </xf>
    <xf numFmtId="0" fontId="42" fillId="0" borderId="0" xfId="228" applyNumberFormat="1" applyFont="1" applyBorder="1" applyAlignment="1" applyProtection="1">
      <alignment horizontal="center"/>
      <protection locked="0"/>
    </xf>
    <xf numFmtId="0" fontId="73" fillId="0" borderId="0" xfId="228" applyNumberFormat="1" applyFont="1" applyProtection="1">
      <alignment/>
      <protection locked="0"/>
    </xf>
    <xf numFmtId="174" fontId="73" fillId="0" borderId="0" xfId="228" applyFont="1" applyAlignment="1">
      <alignment/>
    </xf>
    <xf numFmtId="174" fontId="42" fillId="0" borderId="0" xfId="228" applyFont="1" applyFill="1" applyAlignment="1" applyProtection="1">
      <alignment/>
      <protection/>
    </xf>
    <xf numFmtId="179" fontId="42" fillId="61" borderId="0" xfId="18" applyNumberFormat="1" applyFont="1" applyFill="1" applyBorder="1" applyProtection="1">
      <protection locked="0"/>
    </xf>
    <xf numFmtId="38" fontId="42" fillId="0" borderId="0" xfId="228" applyNumberFormat="1" applyFont="1" applyAlignment="1" applyProtection="1">
      <alignment/>
      <protection/>
    </xf>
    <xf numFmtId="174" fontId="42" fillId="0" borderId="8" xfId="228" applyFont="1" applyBorder="1" applyAlignment="1">
      <alignment/>
    </xf>
    <xf numFmtId="174" fontId="42" fillId="0" borderId="0" xfId="228" applyFont="1" applyBorder="1" applyAlignment="1">
      <alignment/>
    </xf>
    <xf numFmtId="0" fontId="42" fillId="0" borderId="0" xfId="228" applyNumberFormat="1" applyFont="1" applyBorder="1" applyProtection="1">
      <alignment/>
      <protection locked="0"/>
    </xf>
    <xf numFmtId="38" fontId="42" fillId="0" borderId="0" xfId="228" applyNumberFormat="1" applyFont="1" applyAlignment="1">
      <alignment/>
    </xf>
    <xf numFmtId="179" fontId="42" fillId="0" borderId="0" xfId="18" applyNumberFormat="1" applyFont="1" applyFill="1" applyBorder="1" applyProtection="1">
      <protection/>
    </xf>
    <xf numFmtId="170" fontId="42" fillId="0" borderId="0" xfId="228" applyNumberFormat="1" applyFont="1" applyFill="1" applyBorder="1" applyProtection="1">
      <alignment/>
      <protection/>
    </xf>
    <xf numFmtId="168" fontId="42" fillId="0" borderId="0" xfId="228" applyNumberFormat="1" applyFont="1" applyProtection="1">
      <alignment/>
      <protection locked="0"/>
    </xf>
    <xf numFmtId="175" fontId="42" fillId="61" borderId="0" xfId="18" applyNumberFormat="1" applyFont="1" applyFill="1" applyBorder="1" applyProtection="1">
      <protection/>
    </xf>
    <xf numFmtId="1" fontId="42" fillId="0" borderId="0" xfId="228" applyNumberFormat="1" applyFont="1" applyFill="1" applyProtection="1">
      <alignment/>
      <protection/>
    </xf>
    <xf numFmtId="1" fontId="42" fillId="0" borderId="0" xfId="228" applyNumberFormat="1" applyFont="1" applyFill="1" applyAlignment="1" applyProtection="1">
      <alignment/>
      <protection/>
    </xf>
    <xf numFmtId="0" fontId="42" fillId="0" borderId="0" xfId="228" applyNumberFormat="1" applyFont="1" applyAlignment="1" applyProtection="1">
      <alignment horizontal="left"/>
      <protection locked="0"/>
    </xf>
    <xf numFmtId="175" fontId="42" fillId="61" borderId="0" xfId="18" applyNumberFormat="1" applyFont="1" applyFill="1" applyBorder="1" applyAlignment="1" applyProtection="1">
      <alignment/>
      <protection locked="0"/>
    </xf>
    <xf numFmtId="3" fontId="42" fillId="0" borderId="0" xfId="228" applyNumberFormat="1" applyFont="1" applyAlignment="1" applyProtection="1">
      <alignment/>
      <protection/>
    </xf>
    <xf numFmtId="0" fontId="42" fillId="0" borderId="8" xfId="205" applyNumberFormat="1" applyFont="1" applyBorder="1" applyAlignment="1">
      <alignment horizontal="left" vertical="center" wrapText="1"/>
      <protection/>
    </xf>
    <xf numFmtId="3" fontId="42" fillId="0" borderId="0" xfId="228" applyNumberFormat="1" applyFont="1" applyFill="1" applyAlignment="1" applyProtection="1">
      <alignment horizontal="right"/>
      <protection locked="0"/>
    </xf>
    <xf numFmtId="175" fontId="42" fillId="0" borderId="0" xfId="18" applyNumberFormat="1" applyFont="1" applyFill="1" applyBorder="1" applyAlignment="1" applyProtection="1">
      <alignment/>
      <protection/>
    </xf>
    <xf numFmtId="3" fontId="42" fillId="0" borderId="0" xfId="228" applyNumberFormat="1" applyFont="1" applyFill="1" applyAlignment="1" applyProtection="1">
      <alignment/>
      <protection/>
    </xf>
    <xf numFmtId="174" fontId="42" fillId="0" borderId="0" xfId="228" applyNumberFormat="1" applyFont="1" applyAlignment="1" applyProtection="1">
      <alignment/>
      <protection locked="0"/>
    </xf>
    <xf numFmtId="170" fontId="42" fillId="0" borderId="0" xfId="228" applyNumberFormat="1" applyFont="1" applyFill="1" applyBorder="1" applyAlignment="1" applyProtection="1">
      <alignment/>
      <protection/>
    </xf>
    <xf numFmtId="170" fontId="42" fillId="0" borderId="0" xfId="228" applyNumberFormat="1" applyFont="1" applyAlignment="1" applyProtection="1">
      <alignment horizontal="right"/>
      <protection locked="0"/>
    </xf>
    <xf numFmtId="170" fontId="42" fillId="0" borderId="0" xfId="228" applyNumberFormat="1" applyFont="1" applyProtection="1">
      <alignment/>
      <protection locked="0"/>
    </xf>
    <xf numFmtId="0" fontId="42" fillId="0" borderId="0" xfId="228" applyNumberFormat="1" applyFont="1" applyAlignment="1" applyProtection="1">
      <alignment horizontal="left" indent="8"/>
      <protection locked="0"/>
    </xf>
    <xf numFmtId="3" fontId="42" fillId="0" borderId="0" xfId="228" applyNumberFormat="1" applyFont="1" applyAlignment="1">
      <alignment vertical="top" wrapText="1"/>
    </xf>
    <xf numFmtId="0" fontId="42" fillId="0" borderId="0" xfId="228" applyNumberFormat="1" applyFont="1" applyAlignment="1" applyProtection="1">
      <alignment vertical="top" wrapText="1"/>
      <protection locked="0"/>
    </xf>
    <xf numFmtId="174" fontId="42" fillId="0" borderId="0" xfId="0" applyFont="1" applyAlignment="1">
      <alignment horizontal="left"/>
    </xf>
    <xf numFmtId="177" fontId="49" fillId="0" borderId="0" xfId="218" applyNumberFormat="1" applyFont="1" applyFill="1" applyBorder="1" applyAlignment="1" quotePrefix="1">
      <alignment horizontal="center"/>
    </xf>
    <xf numFmtId="174" fontId="42" fillId="0" borderId="0" xfId="228" applyFont="1" applyAlignment="1">
      <alignment horizontal="center"/>
    </xf>
    <xf numFmtId="174" fontId="42" fillId="0" borderId="0" xfId="218" applyFont="1" applyFill="1" applyBorder="1" applyAlignment="1">
      <alignment horizontal="left"/>
    </xf>
    <xf numFmtId="10" fontId="42" fillId="0" borderId="0" xfId="15" applyNumberFormat="1" applyFont="1" applyAlignment="1">
      <alignment/>
    </xf>
    <xf numFmtId="2" fontId="42" fillId="0" borderId="0" xfId="0" applyNumberFormat="1" applyFont="1" applyAlignment="1">
      <alignment horizontal="center"/>
    </xf>
    <xf numFmtId="2" fontId="42" fillId="0" borderId="0" xfId="0" applyNumberFormat="1" applyFont="1" applyAlignment="1">
      <alignment/>
    </xf>
    <xf numFmtId="0" fontId="42" fillId="0" borderId="0" xfId="0" applyNumberFormat="1" applyFont="1" applyAlignment="1">
      <alignment/>
    </xf>
    <xf numFmtId="10" fontId="42" fillId="0" borderId="0" xfId="15" applyNumberFormat="1" applyFont="1" applyAlignment="1">
      <alignment horizontal="center"/>
    </xf>
    <xf numFmtId="0" fontId="42" fillId="0" borderId="0" xfId="204" applyFont="1" applyFill="1" applyBorder="1" applyAlignment="1">
      <alignment horizontal="center"/>
      <protection/>
    </xf>
    <xf numFmtId="174" fontId="42" fillId="0" borderId="0" xfId="0" applyFont="1"/>
    <xf numFmtId="174" fontId="42" fillId="0" borderId="0" xfId="0" applyFont="1" applyFill="1" applyAlignment="1">
      <alignment/>
    </xf>
    <xf numFmtId="174" fontId="42" fillId="0" borderId="0" xfId="0" applyFont="1" applyFill="1"/>
    <xf numFmtId="174" fontId="42" fillId="0" borderId="0" xfId="0" applyFont="1" applyFill="1" applyBorder="1"/>
    <xf numFmtId="176" fontId="42" fillId="0" borderId="0" xfId="16" applyNumberFormat="1" applyFont="1" applyFill="1" applyBorder="1"/>
    <xf numFmtId="174" fontId="42" fillId="0" borderId="1" xfId="0" applyFont="1" applyFill="1" applyBorder="1"/>
    <xf numFmtId="176" fontId="42" fillId="0" borderId="1" xfId="16" applyNumberFormat="1" applyFont="1" applyFill="1" applyBorder="1"/>
    <xf numFmtId="174" fontId="42" fillId="0" borderId="0" xfId="0" applyFont="1" applyAlignment="1">
      <alignment horizontal="center"/>
    </xf>
    <xf numFmtId="0" fontId="42" fillId="0" borderId="0" xfId="229" applyFont="1" applyFill="1">
      <alignment/>
      <protection/>
    </xf>
    <xf numFmtId="174" fontId="42" fillId="0" borderId="0" xfId="0" applyFont="1" applyAlignment="1">
      <alignment horizontal="right"/>
    </xf>
    <xf numFmtId="174" fontId="8" fillId="0" borderId="0" xfId="218" applyFont="1" applyAlignment="1">
      <alignment/>
    </xf>
    <xf numFmtId="174" fontId="13" fillId="0" borderId="0" xfId="218" applyFont="1" applyAlignment="1">
      <alignment/>
    </xf>
    <xf numFmtId="174" fontId="13" fillId="0" borderId="0" xfId="218" applyFont="1" applyAlignment="1" quotePrefix="1">
      <alignment horizontal="left"/>
    </xf>
    <xf numFmtId="174" fontId="80" fillId="0" borderId="0" xfId="218" applyFont="1" applyAlignment="1" quotePrefix="1">
      <alignment horizontal="left"/>
    </xf>
    <xf numFmtId="174" fontId="13" fillId="0" borderId="0" xfId="218" applyFont="1" applyBorder="1" applyAlignment="1" quotePrefix="1">
      <alignment horizontal="left"/>
    </xf>
    <xf numFmtId="174" fontId="13" fillId="0" borderId="0" xfId="218" applyFont="1" applyBorder="1" applyAlignment="1">
      <alignment/>
    </xf>
    <xf numFmtId="0" fontId="42" fillId="0" borderId="0" xfId="0" applyNumberFormat="1" applyFont="1" applyAlignment="1">
      <alignment horizontal="center"/>
    </xf>
    <xf numFmtId="0" fontId="42" fillId="0" borderId="0" xfId="0" applyNumberFormat="1" applyFont="1" applyAlignment="1">
      <alignment horizontal="center" wrapText="1"/>
    </xf>
    <xf numFmtId="0" fontId="71" fillId="0" borderId="0" xfId="0" applyNumberFormat="1" applyFont="1" applyAlignment="1">
      <alignment horizontal="center"/>
    </xf>
    <xf numFmtId="174" fontId="71" fillId="0" borderId="0" xfId="0" applyFont="1" applyAlignment="1">
      <alignment horizontal="center"/>
    </xf>
    <xf numFmtId="44" fontId="71" fillId="0" borderId="0" xfId="0" applyNumberFormat="1" applyFont="1" applyBorder="1" applyAlignment="1">
      <alignment/>
    </xf>
    <xf numFmtId="0" fontId="42" fillId="0" borderId="0" xfId="228" applyNumberFormat="1" applyFont="1" applyFill="1" applyAlignment="1" applyProtection="1">
      <alignment vertical="top" wrapText="1"/>
      <protection locked="0"/>
    </xf>
    <xf numFmtId="0" fontId="42" fillId="0" borderId="31" xfId="218" applyNumberFormat="1" applyFont="1" applyFill="1" applyBorder="1">
      <alignment/>
    </xf>
    <xf numFmtId="0" fontId="42" fillId="0" borderId="7" xfId="218" applyNumberFormat="1" applyFont="1" applyFill="1" applyBorder="1" applyAlignment="1">
      <alignment horizontal="center" wrapText="1"/>
    </xf>
    <xf numFmtId="175" fontId="0" fillId="0" borderId="0" xfId="18" applyNumberFormat="1" applyFont="1" applyAlignment="1">
      <alignment/>
    </xf>
    <xf numFmtId="0" fontId="13" fillId="0" borderId="0" xfId="218" applyNumberFormat="1" applyFont="1" applyFill="1" applyBorder="1" applyAlignment="1" applyProtection="1">
      <alignment/>
      <protection locked="0"/>
    </xf>
    <xf numFmtId="0" fontId="13" fillId="0" borderId="0" xfId="218" applyNumberFormat="1" applyFont="1" applyFill="1" applyBorder="1" applyAlignment="1" applyProtection="1">
      <alignment horizontal="center"/>
      <protection locked="0"/>
    </xf>
    <xf numFmtId="3" fontId="13" fillId="0" borderId="0" xfId="218" applyNumberFormat="1" applyFont="1" applyFill="1" applyBorder="1" applyAlignment="1">
      <alignment/>
    </xf>
    <xf numFmtId="0" fontId="13" fillId="0" borderId="0" xfId="218" applyNumberFormat="1" applyFont="1" applyFill="1" applyBorder="1" applyProtection="1">
      <alignment/>
      <protection locked="0"/>
    </xf>
    <xf numFmtId="174" fontId="0" fillId="0" borderId="0" xfId="218" applyFill="1" applyBorder="1" applyAlignment="1">
      <alignment/>
    </xf>
    <xf numFmtId="0" fontId="13" fillId="0" borderId="0" xfId="218" applyNumberFormat="1" applyFont="1" applyFill="1" applyBorder="1">
      <alignment/>
    </xf>
    <xf numFmtId="174" fontId="33" fillId="0" borderId="0" xfId="0" applyFont="1" applyAlignment="1">
      <alignment/>
    </xf>
    <xf numFmtId="43" fontId="33" fillId="0" borderId="0" xfId="18" applyFont="1" applyAlignment="1">
      <alignment/>
    </xf>
    <xf numFmtId="175" fontId="33" fillId="0" borderId="0" xfId="18" applyNumberFormat="1" applyFont="1" applyAlignment="1" applyProtection="1">
      <alignment horizontal="center"/>
      <protection locked="0"/>
    </xf>
    <xf numFmtId="0" fontId="33" fillId="0" borderId="0" xfId="228" applyNumberFormat="1" applyFont="1" applyAlignment="1" applyProtection="1">
      <alignment/>
      <protection locked="0"/>
    </xf>
    <xf numFmtId="3" fontId="33" fillId="0" borderId="0" xfId="228" applyNumberFormat="1" applyFont="1" applyAlignment="1">
      <alignment/>
    </xf>
    <xf numFmtId="3" fontId="33" fillId="0" borderId="8" xfId="228" applyNumberFormat="1" applyFont="1" applyBorder="1" applyAlignment="1">
      <alignment horizontal="center"/>
    </xf>
    <xf numFmtId="170" fontId="33" fillId="0" borderId="0" xfId="0" applyNumberFormat="1" applyFont="1" applyAlignment="1">
      <alignment/>
    </xf>
    <xf numFmtId="0" fontId="33" fillId="0" borderId="0" xfId="228" applyNumberFormat="1" applyFont="1" applyAlignment="1">
      <alignment/>
    </xf>
    <xf numFmtId="3" fontId="33" fillId="0" borderId="0" xfId="228" applyNumberFormat="1" applyFont="1" applyAlignment="1">
      <alignment horizontal="center"/>
    </xf>
    <xf numFmtId="0" fontId="33" fillId="0" borderId="8" xfId="228" applyNumberFormat="1" applyFont="1" applyBorder="1" applyAlignment="1" applyProtection="1">
      <alignment horizontal="center"/>
      <protection locked="0"/>
    </xf>
    <xf numFmtId="174" fontId="33" fillId="0" borderId="0" xfId="228" applyFont="1" applyFill="1" applyAlignment="1">
      <alignment/>
    </xf>
    <xf numFmtId="43" fontId="33" fillId="61" borderId="0" xfId="18" applyFont="1" applyFill="1" applyAlignment="1">
      <alignment horizontal="center"/>
    </xf>
    <xf numFmtId="174" fontId="33" fillId="0" borderId="0" xfId="228" applyFont="1" applyAlignment="1">
      <alignment/>
    </xf>
    <xf numFmtId="43" fontId="33" fillId="0" borderId="8" xfId="18" applyFont="1" applyBorder="1" applyAlignment="1">
      <alignment horizontal="center"/>
    </xf>
    <xf numFmtId="43" fontId="33" fillId="0" borderId="0" xfId="18" applyFont="1" applyFill="1" applyAlignment="1">
      <alignment horizontal="center"/>
    </xf>
    <xf numFmtId="3" fontId="33" fillId="0" borderId="0" xfId="228" applyNumberFormat="1" applyFont="1" applyFill="1" applyAlignment="1">
      <alignment/>
    </xf>
    <xf numFmtId="166" fontId="33" fillId="0" borderId="0" xfId="228" applyNumberFormat="1" applyFont="1" applyAlignment="1">
      <alignment horizontal="center"/>
    </xf>
    <xf numFmtId="164" fontId="33" fillId="0" borderId="0" xfId="228" applyNumberFormat="1" applyFont="1" applyAlignment="1">
      <alignment horizontal="left"/>
    </xf>
    <xf numFmtId="0" fontId="33" fillId="0" borderId="0" xfId="228" applyNumberFormat="1" applyFont="1" applyFill="1" applyAlignment="1">
      <alignment/>
    </xf>
    <xf numFmtId="164" fontId="33" fillId="0" borderId="0" xfId="228" applyNumberFormat="1" applyFont="1" applyFill="1" applyAlignment="1">
      <alignment horizontal="left"/>
    </xf>
    <xf numFmtId="43" fontId="33" fillId="0" borderId="0" xfId="18" applyFont="1" applyFill="1" applyAlignment="1">
      <alignment horizontal="right"/>
    </xf>
    <xf numFmtId="175" fontId="33" fillId="0" borderId="0" xfId="18" applyNumberFormat="1" applyFont="1" applyBorder="1" applyAlignment="1">
      <alignment/>
    </xf>
    <xf numFmtId="10" fontId="33" fillId="0" borderId="0" xfId="228" applyNumberFormat="1" applyFont="1" applyFill="1" applyAlignment="1">
      <alignment horizontal="left"/>
    </xf>
    <xf numFmtId="3" fontId="33" fillId="0" borderId="0" xfId="205" applyNumberFormat="1" applyFont="1" applyAlignment="1">
      <alignment/>
      <protection/>
    </xf>
    <xf numFmtId="166" fontId="33" fillId="0" borderId="0" xfId="205" applyNumberFormat="1" applyFont="1" applyAlignment="1">
      <alignment/>
      <protection/>
    </xf>
    <xf numFmtId="0" fontId="33" fillId="0" borderId="0" xfId="205" applyFont="1" applyAlignment="1">
      <alignment/>
      <protection/>
    </xf>
    <xf numFmtId="164" fontId="33" fillId="0" borderId="0" xfId="228" applyNumberFormat="1" applyFont="1" applyFill="1" applyAlignment="1" applyProtection="1">
      <alignment horizontal="left"/>
      <protection locked="0"/>
    </xf>
    <xf numFmtId="43" fontId="33" fillId="0" borderId="1" xfId="18" applyFont="1" applyBorder="1" applyAlignment="1">
      <alignment/>
    </xf>
    <xf numFmtId="0" fontId="42" fillId="0" borderId="0" xfId="229" applyFont="1" applyAlignment="1">
      <alignment horizontal="center"/>
      <protection/>
    </xf>
    <xf numFmtId="0" fontId="42" fillId="0" borderId="0" xfId="229" applyFont="1" applyAlignment="1">
      <alignment horizontal="center" wrapText="1"/>
      <protection/>
    </xf>
    <xf numFmtId="0" fontId="42" fillId="0" borderId="0" xfId="223" applyFont="1" applyFill="1" applyBorder="1" applyAlignment="1">
      <alignment horizontal="center" wrapText="1"/>
    </xf>
    <xf numFmtId="43" fontId="42" fillId="61" borderId="0" xfId="18" applyFont="1" applyFill="1"/>
    <xf numFmtId="49" fontId="42" fillId="0" borderId="0" xfId="0" applyNumberFormat="1" applyFont="1" applyAlignment="1">
      <alignment horizontal="center"/>
    </xf>
    <xf numFmtId="0" fontId="42" fillId="0" borderId="0" xfId="209" applyFont="1" applyFill="1" applyAlignment="1">
      <alignment horizontal="center" wrapText="1"/>
      <protection/>
    </xf>
    <xf numFmtId="0" fontId="42" fillId="0" borderId="0" xfId="228" applyNumberFormat="1" applyFont="1" applyFill="1" applyAlignment="1" applyProtection="1">
      <alignment vertical="top"/>
      <protection locked="0"/>
    </xf>
    <xf numFmtId="174" fontId="42" fillId="0" borderId="0" xfId="228" applyFont="1" applyFill="1" applyAlignment="1">
      <alignment vertical="top" wrapText="1"/>
    </xf>
    <xf numFmtId="0" fontId="42" fillId="0" borderId="0" xfId="205" applyFont="1" applyFill="1" applyAlignment="1">
      <alignment vertical="top" wrapText="1"/>
      <protection/>
    </xf>
    <xf numFmtId="0" fontId="42" fillId="0" borderId="0" xfId="205" applyNumberFormat="1" applyFont="1" applyAlignment="1">
      <alignment vertical="top"/>
      <protection/>
    </xf>
    <xf numFmtId="0" fontId="42" fillId="0" borderId="0" xfId="228" applyNumberFormat="1" applyFont="1" applyAlignment="1" applyProtection="1">
      <alignment vertical="top"/>
      <protection locked="0"/>
    </xf>
    <xf numFmtId="170" fontId="42" fillId="0" borderId="0" xfId="228" applyNumberFormat="1" applyFont="1" applyFill="1" applyBorder="1" applyAlignment="1" applyProtection="1">
      <alignment vertical="top"/>
      <protection/>
    </xf>
    <xf numFmtId="3" fontId="42" fillId="0" borderId="0" xfId="228" applyNumberFormat="1" applyFont="1" applyAlignment="1" applyProtection="1">
      <alignment vertical="top"/>
      <protection/>
    </xf>
    <xf numFmtId="3" fontId="42" fillId="0" borderId="0" xfId="228" applyNumberFormat="1" applyFont="1" applyFill="1" applyAlignment="1" applyProtection="1">
      <alignment vertical="top"/>
      <protection/>
    </xf>
    <xf numFmtId="174" fontId="42" fillId="0" borderId="0" xfId="0" applyFont="1" applyAlignment="1">
      <alignment vertical="top"/>
    </xf>
    <xf numFmtId="0" fontId="6" fillId="0" borderId="0" xfId="204" applyFont="1" applyBorder="1">
      <alignment/>
      <protection/>
    </xf>
    <xf numFmtId="0" fontId="6" fillId="0" borderId="32" xfId="204" applyFont="1" applyBorder="1" applyAlignment="1">
      <alignment horizontal="center"/>
      <protection/>
    </xf>
    <xf numFmtId="0" fontId="6" fillId="0" borderId="0" xfId="204" applyFont="1" applyBorder="1" applyAlignment="1">
      <alignment horizontal="center"/>
      <protection/>
    </xf>
    <xf numFmtId="0" fontId="6" fillId="0" borderId="0" xfId="204" applyFont="1" applyBorder="1" applyAlignment="1">
      <alignment/>
      <protection/>
    </xf>
    <xf numFmtId="0" fontId="81" fillId="0" borderId="0" xfId="204" applyFont="1" applyBorder="1" applyAlignment="1">
      <alignment horizontal="left"/>
      <protection/>
    </xf>
    <xf numFmtId="1" fontId="42" fillId="0" borderId="0" xfId="0" applyNumberFormat="1" applyFont="1" applyFill="1" applyAlignment="1">
      <alignment horizontal="center"/>
    </xf>
    <xf numFmtId="49" fontId="42" fillId="0" borderId="0" xfId="0" applyNumberFormat="1" applyFont="1" applyFill="1" applyAlignment="1">
      <alignment horizontal="center"/>
    </xf>
    <xf numFmtId="0" fontId="42" fillId="0" borderId="0" xfId="229" applyFont="1" applyFill="1" applyAlignment="1">
      <alignment horizontal="center"/>
      <protection/>
    </xf>
    <xf numFmtId="0" fontId="42" fillId="0" borderId="0" xfId="229" applyFont="1" applyFill="1" applyAlignment="1">
      <alignment horizontal="center" wrapText="1"/>
      <protection/>
    </xf>
    <xf numFmtId="175" fontId="33" fillId="0" borderId="0" xfId="18" applyNumberFormat="1" applyFont="1" applyAlignment="1">
      <alignment/>
    </xf>
    <xf numFmtId="174" fontId="82" fillId="0" borderId="0" xfId="0" applyFont="1" applyAlignment="1">
      <alignment/>
    </xf>
    <xf numFmtId="0" fontId="28" fillId="0" borderId="0" xfId="202" applyFont="1" applyAlignment="1">
      <alignment horizontal="center"/>
      <protection/>
    </xf>
    <xf numFmtId="175" fontId="42" fillId="0" borderId="0" xfId="18" applyNumberFormat="1" applyFont="1" applyAlignment="1">
      <alignment horizontal="right"/>
    </xf>
    <xf numFmtId="175" fontId="42" fillId="0" borderId="8" xfId="18" applyNumberFormat="1" applyFont="1" applyBorder="1" applyAlignment="1">
      <alignment horizontal="right"/>
    </xf>
    <xf numFmtId="43" fontId="33" fillId="0" borderId="0" xfId="18" applyFont="1" applyAlignment="1">
      <alignment horizontal="right"/>
    </xf>
    <xf numFmtId="174" fontId="42" fillId="0" borderId="0" xfId="0" applyFont="1" applyFill="1" applyAlignment="1">
      <alignment horizontal="center"/>
    </xf>
    <xf numFmtId="174" fontId="13" fillId="0" borderId="0" xfId="218" applyFont="1" applyAlignment="1">
      <alignment horizontal="center"/>
    </xf>
    <xf numFmtId="174" fontId="0" fillId="0" borderId="0" xfId="0" applyFont="1" applyAlignment="1">
      <alignment horizontal="center"/>
    </xf>
    <xf numFmtId="0" fontId="13" fillId="0" borderId="0" xfId="218" applyNumberFormat="1" applyFont="1" applyFill="1" applyBorder="1" applyAlignment="1">
      <alignment horizontal="center"/>
    </xf>
    <xf numFmtId="175" fontId="42" fillId="0" borderId="11" xfId="18" applyNumberFormat="1" applyFont="1" applyFill="1" applyBorder="1" applyAlignment="1">
      <alignment/>
    </xf>
    <xf numFmtId="175" fontId="42" fillId="0" borderId="27" xfId="18" applyNumberFormat="1" applyFont="1" applyFill="1" applyBorder="1" applyAlignment="1">
      <alignment/>
    </xf>
    <xf numFmtId="184" fontId="13" fillId="0" borderId="0" xfId="18" applyNumberFormat="1" applyFont="1" applyFill="1" applyAlignment="1">
      <alignment horizontal="right"/>
    </xf>
    <xf numFmtId="43" fontId="42" fillId="0" borderId="0" xfId="18" applyFont="1" applyAlignment="1">
      <alignment horizontal="fill"/>
    </xf>
    <xf numFmtId="0" fontId="42" fillId="0" borderId="0" xfId="205" applyNumberFormat="1" applyFont="1" applyFill="1" applyAlignment="1">
      <alignment vertical="top"/>
      <protection/>
    </xf>
    <xf numFmtId="179" fontId="42" fillId="0" borderId="8" xfId="18" applyNumberFormat="1" applyFont="1" applyFill="1" applyBorder="1" applyProtection="1">
      <protection locked="0"/>
    </xf>
    <xf numFmtId="175" fontId="42" fillId="0" borderId="8" xfId="18" applyNumberFormat="1" applyFont="1" applyFill="1" applyBorder="1" applyAlignment="1" applyProtection="1">
      <alignment/>
      <protection locked="0"/>
    </xf>
    <xf numFmtId="49" fontId="42" fillId="0" borderId="0" xfId="0" applyNumberFormat="1" applyFont="1" applyAlignment="1">
      <alignment horizontal="center" vertical="center" wrapText="1"/>
    </xf>
    <xf numFmtId="174" fontId="6" fillId="0" borderId="0" xfId="218" applyFont="1" applyFill="1" applyBorder="1" applyAlignment="1">
      <alignment/>
    </xf>
    <xf numFmtId="174" fontId="6" fillId="0" borderId="8" xfId="218" applyFont="1" applyFill="1" applyBorder="1" applyAlignment="1">
      <alignment/>
    </xf>
    <xf numFmtId="174" fontId="6" fillId="0" borderId="0" xfId="218" applyFont="1" applyFill="1" applyBorder="1" applyAlignment="1">
      <alignment horizontal="center" vertical="top"/>
    </xf>
    <xf numFmtId="3" fontId="42" fillId="0" borderId="0" xfId="228" applyNumberFormat="1" applyFont="1" applyFill="1" applyBorder="1" applyAlignment="1">
      <alignment horizontal="center"/>
    </xf>
    <xf numFmtId="3" fontId="42" fillId="0" borderId="0" xfId="228" applyNumberFormat="1" applyFont="1" applyBorder="1" applyAlignment="1">
      <alignment horizontal="center"/>
    </xf>
    <xf numFmtId="3" fontId="33" fillId="0" borderId="0" xfId="0" applyNumberFormat="1" applyFont="1" applyAlignment="1">
      <alignment/>
    </xf>
    <xf numFmtId="3" fontId="33" fillId="0" borderId="8" xfId="0" applyNumberFormat="1" applyFont="1" applyBorder="1" applyAlignment="1">
      <alignment horizontal="center"/>
    </xf>
    <xf numFmtId="3" fontId="33" fillId="0" borderId="0" xfId="0" applyNumberFormat="1" applyFont="1" applyFill="1" applyAlignment="1">
      <alignment/>
    </xf>
    <xf numFmtId="0" fontId="33" fillId="0" borderId="0" xfId="0" applyNumberFormat="1" applyFont="1" applyProtection="1">
      <protection locked="0"/>
    </xf>
    <xf numFmtId="3" fontId="33" fillId="0" borderId="0" xfId="0" applyNumberFormat="1" applyFont="1" applyAlignment="1">
      <alignment horizontal="center"/>
    </xf>
    <xf numFmtId="3" fontId="42" fillId="0" borderId="0" xfId="205" applyNumberFormat="1" applyFont="1" applyAlignment="1">
      <alignment wrapText="1"/>
      <protection/>
    </xf>
    <xf numFmtId="174" fontId="85" fillId="0" borderId="0" xfId="218" applyFont="1" applyFill="1" applyBorder="1" applyAlignment="1">
      <alignment/>
    </xf>
    <xf numFmtId="175" fontId="0" fillId="0" borderId="0" xfId="18" applyNumberFormat="1" applyFont="1" applyAlignment="1">
      <alignment horizontal="center"/>
    </xf>
    <xf numFmtId="1" fontId="13" fillId="0" borderId="0" xfId="218" applyNumberFormat="1" applyFont="1" applyAlignment="1">
      <alignment horizontal="left"/>
    </xf>
    <xf numFmtId="174" fontId="13" fillId="0" borderId="0" xfId="218" applyFont="1" applyAlignment="1">
      <alignment horizontal="left"/>
    </xf>
    <xf numFmtId="174" fontId="33" fillId="0" borderId="0" xfId="228" applyFont="1" applyFill="1" applyAlignment="1">
      <alignment wrapText="1"/>
    </xf>
    <xf numFmtId="175" fontId="33" fillId="0" borderId="0" xfId="18" applyNumberFormat="1" applyFont="1" applyAlignment="1">
      <alignment horizontal="left" indent="2"/>
    </xf>
    <xf numFmtId="184" fontId="33" fillId="0" borderId="0" xfId="18" applyNumberFormat="1" applyFont="1" applyAlignment="1">
      <alignment/>
    </xf>
    <xf numFmtId="0" fontId="33" fillId="0" borderId="0" xfId="218" applyNumberFormat="1" applyFont="1" applyFill="1" applyAlignment="1">
      <alignment horizontal="right"/>
    </xf>
    <xf numFmtId="43" fontId="33" fillId="0" borderId="1" xfId="18" applyFont="1" applyBorder="1" applyAlignment="1">
      <alignment horizontal="right"/>
    </xf>
    <xf numFmtId="0" fontId="71" fillId="0" borderId="0" xfId="209" applyFont="1" applyFill="1" applyBorder="1" applyAlignment="1">
      <alignment horizontal="center" vertical="center" wrapText="1"/>
      <protection/>
    </xf>
    <xf numFmtId="0" fontId="71" fillId="0" borderId="0" xfId="209" applyFont="1" applyFill="1" applyBorder="1" applyAlignment="1">
      <alignment horizontal="center"/>
      <protection/>
    </xf>
    <xf numFmtId="174" fontId="72" fillId="0" borderId="0" xfId="0" applyFont="1" applyFill="1" applyBorder="1" applyAlignment="1">
      <alignment horizontal="center"/>
    </xf>
    <xf numFmtId="43" fontId="77" fillId="0" borderId="0" xfId="18" applyFont="1" applyFill="1" applyBorder="1"/>
    <xf numFmtId="176" fontId="71" fillId="0" borderId="0" xfId="16" applyNumberFormat="1" applyFont="1" applyFill="1" applyBorder="1"/>
    <xf numFmtId="0" fontId="71" fillId="0" borderId="0" xfId="209" applyFont="1" applyFill="1" applyBorder="1">
      <alignment/>
      <protection/>
    </xf>
    <xf numFmtId="174" fontId="42" fillId="0" borderId="0" xfId="0" applyFont="1" applyFill="1" applyBorder="1" applyAlignment="1">
      <alignment/>
    </xf>
    <xf numFmtId="0" fontId="42" fillId="0" borderId="0" xfId="225" applyNumberFormat="1" applyFont="1" applyFill="1" applyBorder="1" applyAlignment="1" applyProtection="1">
      <alignment horizontal="center"/>
      <protection locked="0"/>
    </xf>
    <xf numFmtId="175" fontId="42" fillId="0" borderId="8" xfId="18" applyNumberFormat="1" applyFont="1" applyFill="1" applyBorder="1" applyAlignment="1">
      <alignment horizontal="center"/>
    </xf>
    <xf numFmtId="0" fontId="42" fillId="0" borderId="33" xfId="218" applyNumberFormat="1" applyFont="1" applyFill="1" applyBorder="1">
      <alignment/>
    </xf>
    <xf numFmtId="175" fontId="42" fillId="61" borderId="10" xfId="18" applyNumberFormat="1" applyFont="1" applyFill="1" applyBorder="1" applyAlignment="1">
      <alignment/>
    </xf>
    <xf numFmtId="0" fontId="42" fillId="0" borderId="9" xfId="218" applyNumberFormat="1" applyFont="1" applyFill="1" applyBorder="1" applyAlignment="1">
      <alignment horizontal="center" wrapText="1"/>
    </xf>
    <xf numFmtId="41" fontId="42" fillId="62" borderId="0" xfId="229" applyNumberFormat="1" applyFont="1" applyFill="1">
      <alignment/>
      <protection/>
    </xf>
    <xf numFmtId="43" fontId="33" fillId="61" borderId="0" xfId="18" applyFont="1" applyFill="1" applyAlignment="1">
      <alignment/>
    </xf>
    <xf numFmtId="175" fontId="33" fillId="61" borderId="0" xfId="18" applyNumberFormat="1" applyFont="1" applyFill="1" applyAlignment="1">
      <alignment/>
    </xf>
    <xf numFmtId="175" fontId="33" fillId="0" borderId="0" xfId="18" applyNumberFormat="1" applyFont="1" applyFill="1" applyAlignment="1" applyProtection="1">
      <alignment/>
      <protection locked="0"/>
    </xf>
    <xf numFmtId="175" fontId="33" fillId="61" borderId="8" xfId="18" applyNumberFormat="1" applyFont="1" applyFill="1" applyBorder="1" applyAlignment="1">
      <alignment/>
    </xf>
    <xf numFmtId="43" fontId="13" fillId="0" borderId="0" xfId="18" applyFont="1" applyAlignment="1">
      <alignment/>
    </xf>
    <xf numFmtId="43" fontId="13" fillId="0" borderId="0" xfId="18" applyFont="1" applyBorder="1" applyAlignment="1">
      <alignment/>
    </xf>
    <xf numFmtId="169" fontId="33" fillId="63" borderId="0" xfId="18" applyNumberFormat="1" applyFont="1" applyFill="1" applyAlignment="1">
      <alignment/>
    </xf>
    <xf numFmtId="0" fontId="42" fillId="0" borderId="0" xfId="0" applyNumberFormat="1" applyFont="1" applyAlignment="1">
      <alignment horizontal="center"/>
    </xf>
    <xf numFmtId="44" fontId="42" fillId="0" borderId="0" xfId="0" applyNumberFormat="1" applyFont="1" applyBorder="1" applyAlignment="1">
      <alignment/>
    </xf>
    <xf numFmtId="44" fontId="42" fillId="0" borderId="0" xfId="0" applyNumberFormat="1" applyFont="1" applyFill="1" applyBorder="1" applyAlignment="1">
      <alignment/>
    </xf>
    <xf numFmtId="0" fontId="42" fillId="0" borderId="0" xfId="204" applyFont="1" applyFill="1" applyBorder="1" applyAlignment="1">
      <alignment/>
      <protection/>
    </xf>
    <xf numFmtId="3" fontId="42" fillId="0" borderId="0" xfId="204" applyNumberFormat="1" applyFont="1" applyFill="1" applyBorder="1" applyAlignment="1">
      <alignment horizontal="center" wrapText="1"/>
      <protection/>
    </xf>
    <xf numFmtId="0" fontId="42" fillId="0" borderId="0" xfId="204" applyFont="1" applyFill="1" applyBorder="1" applyAlignment="1">
      <alignment horizontal="center" wrapText="1"/>
      <protection/>
    </xf>
    <xf numFmtId="174" fontId="72" fillId="0" borderId="0" xfId="0" applyFont="1" applyBorder="1" applyAlignment="1">
      <alignment/>
    </xf>
    <xf numFmtId="0" fontId="42" fillId="64" borderId="0" xfId="204" applyFont="1" applyFill="1" applyBorder="1" applyAlignment="1">
      <alignment/>
      <protection/>
    </xf>
    <xf numFmtId="175" fontId="42" fillId="64" borderId="0" xfId="18" applyNumberFormat="1" applyFont="1" applyFill="1" applyBorder="1" applyAlignment="1">
      <alignment horizontal="center"/>
    </xf>
    <xf numFmtId="174" fontId="72" fillId="64" borderId="0" xfId="0" applyFont="1" applyFill="1" applyAlignment="1">
      <alignment/>
    </xf>
    <xf numFmtId="175" fontId="42" fillId="0" borderId="0" xfId="18" applyNumberFormat="1" applyFont="1" applyFill="1" applyBorder="1" applyAlignment="1">
      <alignment horizontal="center" wrapText="1"/>
    </xf>
    <xf numFmtId="175" fontId="42" fillId="64" borderId="0" xfId="18" applyNumberFormat="1" applyFont="1" applyFill="1" applyBorder="1"/>
    <xf numFmtId="0" fontId="42" fillId="64" borderId="1" xfId="204" applyFont="1" applyFill="1" applyBorder="1" applyAlignment="1">
      <alignment/>
      <protection/>
    </xf>
    <xf numFmtId="175" fontId="42" fillId="64" borderId="1" xfId="18" applyNumberFormat="1" applyFont="1" applyFill="1" applyBorder="1"/>
    <xf numFmtId="175" fontId="42" fillId="64" borderId="1" xfId="18" applyNumberFormat="1" applyFont="1" applyFill="1" applyBorder="1" applyAlignment="1">
      <alignment horizontal="center"/>
    </xf>
    <xf numFmtId="174" fontId="72" fillId="64" borderId="1" xfId="0" applyFont="1" applyFill="1" applyBorder="1" applyAlignment="1">
      <alignment/>
    </xf>
    <xf numFmtId="175" fontId="42" fillId="0" borderId="1" xfId="18" applyNumberFormat="1" applyFont="1" applyFill="1" applyBorder="1" applyAlignment="1">
      <alignment horizontal="center" wrapText="1"/>
    </xf>
    <xf numFmtId="175" fontId="42" fillId="0" borderId="0" xfId="18" applyNumberFormat="1" applyFont="1" applyFill="1" applyBorder="1"/>
    <xf numFmtId="174" fontId="42" fillId="0" borderId="0" xfId="0" applyFont="1" applyBorder="1" applyAlignment="1">
      <alignment/>
    </xf>
    <xf numFmtId="0" fontId="42" fillId="0" borderId="0" xfId="0" applyNumberFormat="1" applyFont="1" applyAlignment="1">
      <alignment horizontal="center" vertical="top"/>
    </xf>
    <xf numFmtId="0" fontId="42" fillId="0" borderId="0" xfId="0" applyNumberFormat="1" applyFont="1" applyFill="1" applyAlignment="1">
      <alignment horizontal="center"/>
    </xf>
    <xf numFmtId="3" fontId="42" fillId="0" borderId="0" xfId="205" applyNumberFormat="1" applyFont="1" applyFill="1" applyAlignment="1">
      <alignment wrapText="1"/>
      <protection/>
    </xf>
    <xf numFmtId="0" fontId="49" fillId="0" borderId="0" xfId="229" applyFont="1" applyFill="1" applyAlignment="1">
      <alignment horizontal="center" wrapText="1"/>
      <protection/>
    </xf>
    <xf numFmtId="0" fontId="42" fillId="0" borderId="0" xfId="228" applyNumberFormat="1" applyFont="1" applyFill="1" applyAlignment="1" applyProtection="1">
      <alignment horizontal="center"/>
      <protection locked="0"/>
    </xf>
    <xf numFmtId="185" fontId="42" fillId="0" borderId="0" xfId="18" applyNumberFormat="1" applyFont="1" applyFill="1" applyAlignment="1">
      <alignment/>
    </xf>
    <xf numFmtId="164" fontId="42" fillId="0" borderId="0" xfId="228" applyNumberFormat="1" applyFont="1" applyFill="1" applyAlignment="1">
      <alignment horizontal="center"/>
    </xf>
    <xf numFmtId="174" fontId="42" fillId="0" borderId="33" xfId="0" applyFont="1" applyBorder="1"/>
    <xf numFmtId="174" fontId="42" fillId="0" borderId="34" xfId="0" applyFont="1" applyBorder="1"/>
    <xf numFmtId="174" fontId="42" fillId="0" borderId="31" xfId="0" applyFont="1" applyBorder="1" applyAlignment="1">
      <alignment horizontal="center"/>
    </xf>
    <xf numFmtId="174" fontId="42" fillId="0" borderId="3" xfId="0" applyFont="1" applyBorder="1"/>
    <xf numFmtId="174" fontId="42" fillId="0" borderId="27" xfId="0" applyFont="1" applyBorder="1" applyAlignment="1">
      <alignment horizontal="center"/>
    </xf>
    <xf numFmtId="174" fontId="42" fillId="0" borderId="31" xfId="0" applyFont="1" applyBorder="1"/>
    <xf numFmtId="174" fontId="42" fillId="0" borderId="11" xfId="0" applyFont="1" applyBorder="1"/>
    <xf numFmtId="174" fontId="42" fillId="0" borderId="9" xfId="0" applyFont="1" applyBorder="1" applyAlignment="1">
      <alignment horizontal="center"/>
    </xf>
    <xf numFmtId="174" fontId="42" fillId="0" borderId="11" xfId="0" applyFont="1" applyBorder="1" applyAlignment="1">
      <alignment horizontal="center"/>
    </xf>
    <xf numFmtId="174" fontId="42" fillId="0" borderId="27" xfId="0" applyFont="1" applyBorder="1"/>
    <xf numFmtId="174" fontId="42" fillId="0" borderId="1" xfId="0" applyFont="1" applyBorder="1"/>
    <xf numFmtId="176" fontId="42" fillId="0" borderId="35" xfId="16" applyNumberFormat="1" applyFont="1" applyFill="1" applyBorder="1"/>
    <xf numFmtId="174" fontId="42" fillId="0" borderId="0" xfId="0" applyNumberFormat="1" applyFont="1" applyFill="1" applyBorder="1" applyAlignment="1" applyProtection="1">
      <alignment/>
      <protection/>
    </xf>
    <xf numFmtId="174" fontId="42" fillId="0" borderId="0" xfId="218" applyFont="1" applyAlignment="1">
      <alignment/>
    </xf>
    <xf numFmtId="174" fontId="42" fillId="0" borderId="0" xfId="218" applyFont="1" applyAlignment="1">
      <alignment horizontal="center"/>
    </xf>
    <xf numFmtId="174" fontId="42" fillId="0" borderId="1" xfId="218" applyFont="1" applyFill="1" applyBorder="1" applyAlignment="1">
      <alignment horizontal="center"/>
    </xf>
    <xf numFmtId="174" fontId="42" fillId="0" borderId="33" xfId="218" applyFont="1" applyFill="1" applyBorder="1" applyAlignment="1">
      <alignment horizontal="center"/>
    </xf>
    <xf numFmtId="174" fontId="42" fillId="0" borderId="31" xfId="218" applyFont="1" applyFill="1" applyBorder="1" applyAlignment="1">
      <alignment horizontal="center"/>
    </xf>
    <xf numFmtId="174" fontId="42" fillId="0" borderId="31" xfId="218" applyFont="1" applyBorder="1" applyAlignment="1">
      <alignment horizontal="center"/>
    </xf>
    <xf numFmtId="174" fontId="42" fillId="0" borderId="10" xfId="218" applyFont="1" applyBorder="1" applyAlignment="1">
      <alignment horizontal="center"/>
    </xf>
    <xf numFmtId="174" fontId="42" fillId="0" borderId="11" xfId="218" applyFont="1" applyBorder="1" applyAlignment="1">
      <alignment horizontal="center"/>
    </xf>
    <xf numFmtId="43" fontId="42" fillId="64" borderId="10" xfId="18" applyFont="1" applyFill="1" applyBorder="1" applyAlignment="1">
      <alignment horizontal="center"/>
    </xf>
    <xf numFmtId="43" fontId="42" fillId="64" borderId="11" xfId="18" applyFont="1" applyFill="1" applyBorder="1" applyAlignment="1">
      <alignment/>
    </xf>
    <xf numFmtId="175" fontId="42" fillId="0" borderId="11" xfId="18" applyNumberFormat="1" applyFont="1" applyBorder="1" applyAlignment="1">
      <alignment/>
    </xf>
    <xf numFmtId="174" fontId="42" fillId="0" borderId="29" xfId="218" applyFont="1" applyFill="1" applyBorder="1" applyAlignment="1">
      <alignment horizontal="center"/>
    </xf>
    <xf numFmtId="0" fontId="42" fillId="0" borderId="0" xfId="227" applyFont="1">
      <alignment/>
      <protection/>
    </xf>
    <xf numFmtId="0" fontId="42" fillId="0" borderId="0" xfId="0" applyNumberFormat="1" applyFont="1" applyFill="1" applyAlignment="1">
      <alignment horizontal="center" vertical="top"/>
    </xf>
    <xf numFmtId="174" fontId="42" fillId="64" borderId="11" xfId="0" applyFont="1" applyFill="1" applyBorder="1"/>
    <xf numFmtId="43" fontId="42" fillId="64" borderId="0" xfId="18" applyFont="1" applyFill="1" applyBorder="1"/>
    <xf numFmtId="0" fontId="42" fillId="0" borderId="0" xfId="223" applyNumberFormat="1" applyFont="1" applyFill="1" applyAlignment="1">
      <alignment horizontal="left"/>
    </xf>
    <xf numFmtId="0" fontId="6" fillId="0" borderId="32" xfId="204" applyFont="1" applyFill="1" applyBorder="1" applyAlignment="1">
      <alignment horizontal="center"/>
      <protection/>
    </xf>
    <xf numFmtId="49" fontId="6" fillId="0" borderId="0" xfId="204" applyNumberFormat="1" applyFont="1" applyFill="1" applyBorder="1" applyAlignment="1">
      <alignment horizontal="center"/>
      <protection/>
    </xf>
    <xf numFmtId="0" fontId="6" fillId="0" borderId="0" xfId="204" applyFont="1" applyFill="1" applyBorder="1" applyAlignment="1">
      <alignment/>
      <protection/>
    </xf>
    <xf numFmtId="174" fontId="0" fillId="0" borderId="0" xfId="0" applyFill="1" applyAlignment="1">
      <alignment/>
    </xf>
    <xf numFmtId="0" fontId="42" fillId="0" borderId="0" xfId="204" applyFont="1" applyBorder="1" applyAlignment="1">
      <alignment horizontal="center"/>
      <protection/>
    </xf>
    <xf numFmtId="3" fontId="42" fillId="0" borderId="0" xfId="204" applyNumberFormat="1" applyFont="1" applyFill="1" applyBorder="1" applyAlignment="1">
      <alignment/>
      <protection/>
    </xf>
    <xf numFmtId="174" fontId="49" fillId="0" borderId="1" xfId="218" applyFont="1" applyBorder="1" applyAlignment="1">
      <alignment horizontal="center" wrapText="1"/>
    </xf>
    <xf numFmtId="174" fontId="49" fillId="0" borderId="0" xfId="218" applyFont="1" applyFill="1" applyAlignment="1">
      <alignment horizontal="center" wrapText="1"/>
    </xf>
    <xf numFmtId="0" fontId="42" fillId="0" borderId="0" xfId="221" applyFont="1" applyBorder="1" applyAlignment="1">
      <alignment/>
      <protection/>
    </xf>
    <xf numFmtId="0" fontId="42" fillId="0" borderId="0" xfId="221" applyFont="1" applyFill="1" applyBorder="1" applyAlignment="1">
      <alignment wrapText="1"/>
      <protection/>
    </xf>
    <xf numFmtId="174" fontId="42" fillId="61" borderId="0" xfId="0" applyFont="1" applyFill="1" applyAlignment="1">
      <alignment/>
    </xf>
    <xf numFmtId="0" fontId="42" fillId="0" borderId="0" xfId="209" applyFont="1" applyFill="1" applyAlignment="1">
      <alignment horizontal="left" wrapText="1"/>
      <protection/>
    </xf>
    <xf numFmtId="174" fontId="83" fillId="0" borderId="0" xfId="0" applyFont="1" applyFill="1" applyAlignment="1">
      <alignment/>
    </xf>
    <xf numFmtId="0" fontId="6" fillId="0" borderId="0" xfId="0" applyNumberFormat="1" applyFont="1" applyFill="1" applyAlignment="1">
      <alignment horizontal="center" vertical="center"/>
    </xf>
    <xf numFmtId="0" fontId="42" fillId="0" borderId="0" xfId="223" applyNumberFormat="1" applyFont="1" applyFill="1" applyAlignment="1">
      <alignment horizontal="center" wrapText="1"/>
    </xf>
    <xf numFmtId="174" fontId="42" fillId="0" borderId="0" xfId="218" applyFont="1" applyFill="1" applyBorder="1" applyAlignment="1">
      <alignment vertical="top"/>
    </xf>
    <xf numFmtId="174" fontId="42" fillId="0" borderId="0" xfId="0" applyFont="1" applyFill="1" applyAlignment="1">
      <alignment horizontal="left" vertical="center" wrapText="1"/>
    </xf>
    <xf numFmtId="174" fontId="42" fillId="0" borderId="0" xfId="0" applyFont="1" applyAlignment="1">
      <alignment/>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75" fontId="42" fillId="61" borderId="0" xfId="18" applyNumberFormat="1" applyFont="1" applyFill="1"/>
    <xf numFmtId="175" fontId="42" fillId="61" borderId="0" xfId="18" applyNumberFormat="1" applyFont="1" applyFill="1" applyAlignment="1">
      <alignment horizontal="right"/>
    </xf>
    <xf numFmtId="0" fontId="42" fillId="0" borderId="0" xfId="18" applyNumberFormat="1" applyFont="1" applyFill="1" applyBorder="1" applyAlignment="1">
      <alignment horizontal="center"/>
    </xf>
    <xf numFmtId="0" fontId="42" fillId="0" borderId="0" xfId="18" applyNumberFormat="1" applyFont="1" applyFill="1" applyBorder="1" applyAlignment="1" applyProtection="1">
      <alignment horizontal="center"/>
      <protection locked="0"/>
    </xf>
    <xf numFmtId="0" fontId="42" fillId="0" borderId="0" xfId="18" applyNumberFormat="1" applyFont="1" applyAlignment="1">
      <alignment horizontal="center"/>
    </xf>
    <xf numFmtId="176" fontId="42" fillId="64" borderId="10" xfId="16" applyNumberFormat="1" applyFont="1" applyFill="1" applyBorder="1"/>
    <xf numFmtId="174" fontId="42" fillId="0" borderId="33" xfId="0" applyFont="1" applyBorder="1" applyAlignment="1">
      <alignment horizontal="center"/>
    </xf>
    <xf numFmtId="174" fontId="42" fillId="0" borderId="10" xfId="0" applyFont="1" applyBorder="1" applyAlignment="1">
      <alignment horizontal="center"/>
    </xf>
    <xf numFmtId="174" fontId="42" fillId="0" borderId="12" xfId="0" applyFont="1" applyBorder="1" applyAlignment="1">
      <alignment horizontal="center"/>
    </xf>
    <xf numFmtId="174" fontId="85" fillId="0" borderId="27" xfId="218" applyFont="1" applyFill="1" applyBorder="1" applyAlignment="1">
      <alignment horizontal="center"/>
    </xf>
    <xf numFmtId="43" fontId="42" fillId="64" borderId="33" xfId="18" applyFont="1" applyFill="1" applyBorder="1"/>
    <xf numFmtId="43" fontId="42" fillId="0" borderId="31" xfId="18" applyFont="1" applyBorder="1"/>
    <xf numFmtId="43" fontId="42" fillId="0" borderId="12" xfId="18" applyFont="1" applyBorder="1"/>
    <xf numFmtId="43" fontId="42" fillId="0" borderId="11" xfId="18" applyFont="1" applyBorder="1" applyAlignment="1">
      <alignment horizontal="center"/>
    </xf>
    <xf numFmtId="43" fontId="42" fillId="64" borderId="31" xfId="18" applyFont="1" applyFill="1" applyBorder="1" applyAlignment="1">
      <alignment horizontal="center"/>
    </xf>
    <xf numFmtId="43" fontId="42" fillId="64" borderId="10" xfId="18" applyFont="1" applyFill="1" applyBorder="1"/>
    <xf numFmtId="43" fontId="42" fillId="0" borderId="11" xfId="18" applyFont="1" applyBorder="1"/>
    <xf numFmtId="43" fontId="42" fillId="64" borderId="12" xfId="18" applyFont="1" applyFill="1" applyBorder="1"/>
    <xf numFmtId="43" fontId="42" fillId="64" borderId="11" xfId="18" applyFont="1" applyFill="1" applyBorder="1"/>
    <xf numFmtId="176" fontId="42" fillId="0" borderId="29" xfId="16" applyNumberFormat="1" applyFont="1" applyFill="1" applyBorder="1"/>
    <xf numFmtId="10" fontId="42" fillId="0" borderId="27" xfId="15" applyNumberFormat="1" applyFont="1" applyBorder="1"/>
    <xf numFmtId="43" fontId="42" fillId="0" borderId="0" xfId="18" applyFont="1"/>
    <xf numFmtId="0" fontId="49" fillId="0" borderId="0" xfId="18" applyNumberFormat="1" applyFont="1" applyFill="1" applyBorder="1" applyAlignment="1">
      <alignment horizontal="left"/>
    </xf>
    <xf numFmtId="0" fontId="42" fillId="0" borderId="0" xfId="18" applyNumberFormat="1" applyFont="1" applyFill="1" applyAlignment="1">
      <alignment horizontal="center"/>
    </xf>
    <xf numFmtId="0" fontId="42" fillId="0" borderId="0" xfId="18" applyNumberFormat="1" applyFont="1" applyFill="1" applyAlignment="1">
      <alignment horizontal="center" vertical="top"/>
    </xf>
    <xf numFmtId="3" fontId="42" fillId="0" borderId="0" xfId="205" applyNumberFormat="1" applyFont="1" applyAlignment="1">
      <alignment horizontal="center" wrapText="1"/>
      <protection/>
    </xf>
    <xf numFmtId="174" fontId="42" fillId="0" borderId="0" xfId="0" applyFont="1" applyFill="1" applyAlignment="1">
      <alignment vertical="center" wrapText="1"/>
    </xf>
    <xf numFmtId="174" fontId="42" fillId="0" borderId="0" xfId="0" applyFont="1" applyFill="1" applyAlignment="1">
      <alignment horizontal="left" vertical="center"/>
    </xf>
    <xf numFmtId="0" fontId="42" fillId="0" borderId="0" xfId="0" applyNumberFormat="1" applyFont="1" applyFill="1" applyBorder="1" applyAlignment="1">
      <alignment vertical="top"/>
    </xf>
    <xf numFmtId="174" fontId="42" fillId="0" borderId="0" xfId="0" applyFont="1" applyAlignment="1">
      <alignment horizontal="center" wrapText="1"/>
    </xf>
    <xf numFmtId="174" fontId="49" fillId="0" borderId="0" xfId="0" applyFont="1" applyAlignment="1">
      <alignment/>
    </xf>
    <xf numFmtId="174" fontId="49" fillId="0" borderId="0" xfId="228" applyFont="1" applyBorder="1" applyAlignment="1">
      <alignment horizontal="center" wrapText="1"/>
    </xf>
    <xf numFmtId="0" fontId="49" fillId="0" borderId="0" xfId="228" applyNumberFormat="1" applyFont="1" applyBorder="1" applyAlignment="1" applyProtection="1">
      <alignment horizontal="center" wrapText="1"/>
      <protection locked="0"/>
    </xf>
    <xf numFmtId="0" fontId="49" fillId="0" borderId="0" xfId="205" applyNumberFormat="1" applyFont="1" applyBorder="1" applyAlignment="1">
      <alignment horizontal="center" vertical="center" wrapText="1"/>
      <protection/>
    </xf>
    <xf numFmtId="0" fontId="49" fillId="0" borderId="0" xfId="228" applyNumberFormat="1" applyFont="1" applyAlignment="1">
      <alignment horizontal="center" wrapText="1"/>
    </xf>
    <xf numFmtId="43" fontId="42" fillId="0" borderId="0" xfId="18" applyFont="1" applyBorder="1" applyAlignment="1">
      <alignment/>
    </xf>
    <xf numFmtId="174" fontId="42" fillId="64" borderId="0" xfId="0" applyFont="1" applyFill="1" applyBorder="1" applyAlignment="1">
      <alignment/>
    </xf>
    <xf numFmtId="175" fontId="74" fillId="0" borderId="0" xfId="18" applyNumberFormat="1" applyFont="1" applyFill="1" applyBorder="1"/>
    <xf numFmtId="43" fontId="42" fillId="0" borderId="0" xfId="18" applyNumberFormat="1" applyFont="1" applyFill="1" applyBorder="1" applyAlignment="1">
      <alignment/>
    </xf>
    <xf numFmtId="277" fontId="63" fillId="0" borderId="0" xfId="18" applyNumberFormat="1" applyFont="1" applyFill="1" applyBorder="1" applyAlignment="1">
      <alignment/>
    </xf>
    <xf numFmtId="276" fontId="49" fillId="0" borderId="0" xfId="18" applyNumberFormat="1" applyFont="1" applyFill="1" applyBorder="1" applyAlignment="1">
      <alignment/>
    </xf>
    <xf numFmtId="175" fontId="42" fillId="65" borderId="0" xfId="18" applyNumberFormat="1" applyFont="1" applyFill="1" applyBorder="1" applyAlignment="1">
      <alignment/>
    </xf>
    <xf numFmtId="0" fontId="42" fillId="0" borderId="0" xfId="228" applyNumberFormat="1" applyFont="1" applyFill="1" applyProtection="1" quotePrefix="1">
      <alignment/>
      <protection locked="0"/>
    </xf>
    <xf numFmtId="174" fontId="42" fillId="0" borderId="0" xfId="0" applyFont="1" applyAlignment="1">
      <alignment/>
    </xf>
    <xf numFmtId="174" fontId="42" fillId="0" borderId="0" xfId="218" applyFont="1" applyFill="1" applyBorder="1" applyAlignment="1">
      <alignment/>
    </xf>
    <xf numFmtId="175" fontId="42" fillId="0" borderId="0" xfId="18" applyNumberFormat="1" applyFont="1" applyFill="1" applyBorder="1" applyAlignment="1">
      <alignment/>
    </xf>
    <xf numFmtId="174" fontId="42" fillId="0" borderId="0" xfId="218" applyFont="1" applyFill="1" applyBorder="1" applyAlignment="1">
      <alignment horizontal="center"/>
    </xf>
    <xf numFmtId="0" fontId="42" fillId="0" borderId="0" xfId="228" applyNumberFormat="1" applyFont="1" applyFill="1" applyProtection="1">
      <alignment/>
      <protection locked="0"/>
    </xf>
    <xf numFmtId="174" fontId="42" fillId="0" borderId="33" xfId="0" applyFont="1" applyBorder="1" applyAlignment="1">
      <alignment horizontal="center"/>
    </xf>
    <xf numFmtId="174" fontId="42" fillId="0" borderId="34" xfId="0" applyFont="1" applyBorder="1" applyAlignment="1">
      <alignment horizontal="center"/>
    </xf>
    <xf numFmtId="174" fontId="42" fillId="0" borderId="0" xfId="0" applyFont="1" applyAlignment="1">
      <alignment/>
    </xf>
    <xf numFmtId="174" fontId="42" fillId="0" borderId="10" xfId="0" applyFont="1" applyFill="1" applyBorder="1" applyAlignment="1">
      <alignment horizontal="center"/>
    </xf>
    <xf numFmtId="174" fontId="42" fillId="0" borderId="0" xfId="0" applyFont="1" applyFill="1" applyBorder="1" applyAlignment="1">
      <alignment horizontal="center"/>
    </xf>
    <xf numFmtId="43" fontId="42" fillId="0" borderId="0" xfId="18" applyFont="1" applyFill="1" applyBorder="1"/>
    <xf numFmtId="174" fontId="42" fillId="0" borderId="0" xfId="0" applyFont="1" applyBorder="1" applyAlignment="1">
      <alignment horizontal="center"/>
    </xf>
    <xf numFmtId="43" fontId="42" fillId="64" borderId="0" xfId="18" applyFont="1" applyFill="1" applyBorder="1" applyAlignment="1">
      <alignment horizontal="center"/>
    </xf>
    <xf numFmtId="174" fontId="42" fillId="0" borderId="12" xfId="0" applyFont="1" applyBorder="1" applyAlignment="1">
      <alignment/>
    </xf>
    <xf numFmtId="174" fontId="42" fillId="64" borderId="12" xfId="0" applyFont="1" applyFill="1" applyBorder="1" applyAlignment="1">
      <alignment/>
    </xf>
    <xf numFmtId="10" fontId="42" fillId="0" borderId="1" xfId="15" applyNumberFormat="1" applyFont="1" applyFill="1" applyBorder="1"/>
    <xf numFmtId="174" fontId="42" fillId="0" borderId="1" xfId="0" applyFont="1" applyBorder="1" applyAlignment="1">
      <alignment/>
    </xf>
    <xf numFmtId="174" fontId="42" fillId="0" borderId="35" xfId="0" applyFont="1" applyBorder="1" applyAlignment="1">
      <alignment/>
    </xf>
    <xf numFmtId="174" fontId="42" fillId="0" borderId="28" xfId="0" applyFont="1" applyFill="1" applyBorder="1" applyAlignment="1">
      <alignment horizontal="center"/>
    </xf>
    <xf numFmtId="174" fontId="42" fillId="0" borderId="7" xfId="0" applyFont="1" applyFill="1" applyBorder="1" applyAlignment="1">
      <alignment horizontal="center"/>
    </xf>
    <xf numFmtId="174" fontId="42" fillId="0" borderId="7" xfId="0" applyFont="1" applyBorder="1" applyAlignment="1">
      <alignment horizontal="center"/>
    </xf>
    <xf numFmtId="174" fontId="42" fillId="0" borderId="36" xfId="0" applyFont="1" applyBorder="1" applyAlignment="1">
      <alignment horizontal="center"/>
    </xf>
    <xf numFmtId="174" fontId="42" fillId="0" borderId="10" xfId="0" applyFont="1" applyBorder="1" applyAlignment="1">
      <alignment/>
    </xf>
    <xf numFmtId="43" fontId="42" fillId="0" borderId="10" xfId="18" applyFont="1" applyBorder="1" applyAlignment="1">
      <alignment/>
    </xf>
    <xf numFmtId="43" fontId="42" fillId="0" borderId="29" xfId="18" applyFont="1" applyBorder="1" applyAlignment="1">
      <alignment/>
    </xf>
    <xf numFmtId="174" fontId="42" fillId="0" borderId="33" xfId="0" applyFont="1" applyBorder="1" applyAlignment="1">
      <alignment/>
    </xf>
    <xf numFmtId="174" fontId="42" fillId="0" borderId="31" xfId="0" applyFont="1" applyBorder="1" applyAlignment="1">
      <alignment/>
    </xf>
    <xf numFmtId="174" fontId="42" fillId="0" borderId="11" xfId="0" applyFont="1" applyBorder="1" applyAlignment="1">
      <alignment/>
    </xf>
    <xf numFmtId="174" fontId="42" fillId="0" borderId="27" xfId="0" applyFont="1" applyBorder="1" applyAlignment="1">
      <alignment/>
    </xf>
    <xf numFmtId="43" fontId="33" fillId="0" borderId="8" xfId="18" applyFont="1" applyBorder="1" applyAlignment="1">
      <alignment/>
    </xf>
    <xf numFmtId="43" fontId="42" fillId="61" borderId="0" xfId="18" applyFont="1" applyFill="1" applyBorder="1" applyAlignment="1">
      <alignment horizontal="right"/>
    </xf>
    <xf numFmtId="175" fontId="42" fillId="0" borderId="26" xfId="18" applyNumberFormat="1" applyFont="1" applyBorder="1"/>
    <xf numFmtId="175" fontId="42" fillId="64" borderId="0" xfId="18" applyNumberFormat="1" applyFont="1" applyFill="1" applyAlignment="1">
      <alignment/>
    </xf>
    <xf numFmtId="174" fontId="42" fillId="0" borderId="29" xfId="0" applyFont="1" applyBorder="1" applyAlignment="1">
      <alignment horizontal="center"/>
    </xf>
    <xf numFmtId="174" fontId="42" fillId="0" borderId="35" xfId="0" applyFont="1" applyBorder="1" applyAlignment="1">
      <alignment horizontal="center"/>
    </xf>
    <xf numFmtId="174" fontId="42" fillId="0" borderId="29" xfId="0" applyFont="1" applyBorder="1" applyAlignment="1">
      <alignment/>
    </xf>
    <xf numFmtId="174" fontId="42" fillId="0" borderId="29" xfId="0" applyFont="1" applyFill="1" applyBorder="1" applyAlignment="1">
      <alignment horizontal="center"/>
    </xf>
    <xf numFmtId="174" fontId="42" fillId="0" borderId="1" xfId="0" applyFont="1" applyFill="1" applyBorder="1" applyAlignment="1">
      <alignment horizontal="center"/>
    </xf>
    <xf numFmtId="174" fontId="85" fillId="0" borderId="1" xfId="218" applyFont="1" applyFill="1" applyBorder="1" applyAlignment="1">
      <alignment horizontal="center"/>
    </xf>
    <xf numFmtId="174" fontId="42" fillId="0" borderId="1" xfId="0" applyFont="1" applyBorder="1" applyAlignment="1">
      <alignment horizontal="center"/>
    </xf>
    <xf numFmtId="278" fontId="42" fillId="0" borderId="11" xfId="18" applyNumberFormat="1" applyFont="1" applyBorder="1" applyAlignment="1">
      <alignment/>
    </xf>
    <xf numFmtId="43" fontId="42" fillId="0" borderId="0" xfId="18" applyFont="1" applyFill="1" applyAlignment="1" applyProtection="1">
      <alignment vertical="top"/>
      <protection locked="0"/>
    </xf>
    <xf numFmtId="0" fontId="42" fillId="0" borderId="0" xfId="228" applyNumberFormat="1" applyFont="1" applyFill="1" applyAlignment="1">
      <alignment horizontal="center"/>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74" fontId="0" fillId="0" borderId="0" xfId="218" applyFont="1" applyFill="1" applyBorder="1" applyAlignment="1">
      <alignment/>
    </xf>
    <xf numFmtId="174" fontId="0" fillId="0" borderId="0" xfId="0" applyAlignment="1">
      <alignment horizontal="right"/>
    </xf>
    <xf numFmtId="0" fontId="42" fillId="0" borderId="0" xfId="218" applyNumberFormat="1" applyFont="1" applyFill="1" applyBorder="1" applyAlignment="1" applyProtection="1">
      <alignment horizontal="right"/>
      <protection locked="0"/>
    </xf>
    <xf numFmtId="169" fontId="42" fillId="0" borderId="0" xfId="228" applyNumberFormat="1" applyFont="1" applyFill="1" applyAlignment="1">
      <alignment/>
    </xf>
    <xf numFmtId="43" fontId="42" fillId="0" borderId="0" xfId="18" applyFont="1" applyFill="1" applyAlignment="1">
      <alignment horizontal="center"/>
    </xf>
    <xf numFmtId="43" fontId="42" fillId="0" borderId="8" xfId="18" applyFont="1" applyFill="1" applyBorder="1" applyAlignment="1">
      <alignment horizontal="center"/>
    </xf>
    <xf numFmtId="175" fontId="42" fillId="0" borderId="1" xfId="18" applyNumberFormat="1" applyFont="1" applyFill="1" applyBorder="1" applyAlignment="1">
      <alignment/>
    </xf>
    <xf numFmtId="175" fontId="71" fillId="0" borderId="29" xfId="18" applyNumberFormat="1" applyFont="1" applyFill="1" applyBorder="1" applyAlignment="1">
      <alignment/>
    </xf>
    <xf numFmtId="175" fontId="71" fillId="0" borderId="27" xfId="18" applyNumberFormat="1" applyFont="1" applyFill="1" applyBorder="1" applyAlignment="1">
      <alignment/>
    </xf>
    <xf numFmtId="175" fontId="71" fillId="0" borderId="1" xfId="18" applyNumberFormat="1" applyFont="1" applyFill="1" applyBorder="1" applyAlignment="1">
      <alignment/>
    </xf>
    <xf numFmtId="175" fontId="87" fillId="0" borderId="0" xfId="18" applyNumberFormat="1" applyFont="1" applyAlignment="1">
      <alignment horizontal="center"/>
    </xf>
    <xf numFmtId="174" fontId="87" fillId="0" borderId="0" xfId="0" applyFont="1" applyFill="1"/>
    <xf numFmtId="174" fontId="87" fillId="0" borderId="0" xfId="0" applyFont="1" applyAlignment="1">
      <alignment/>
    </xf>
    <xf numFmtId="43" fontId="89" fillId="0" borderId="0" xfId="18" applyFont="1" applyFill="1"/>
    <xf numFmtId="49" fontId="87" fillId="0" borderId="0" xfId="18" applyNumberFormat="1" applyFont="1" applyFill="1"/>
    <xf numFmtId="39" fontId="87" fillId="0" borderId="0" xfId="18" applyNumberFormat="1" applyFont="1" applyFill="1" applyAlignment="1">
      <alignment horizontal="right"/>
    </xf>
    <xf numFmtId="49" fontId="87" fillId="0" borderId="0" xfId="18" applyNumberFormat="1" applyFont="1" applyAlignment="1">
      <alignment/>
    </xf>
    <xf numFmtId="49" fontId="87" fillId="0" borderId="0" xfId="0" applyNumberFormat="1" applyFont="1" applyAlignment="1">
      <alignment/>
    </xf>
    <xf numFmtId="175" fontId="87" fillId="0" borderId="0" xfId="18" applyNumberFormat="1" applyFont="1" applyFill="1" applyAlignment="1">
      <alignment horizontal="center"/>
    </xf>
    <xf numFmtId="49" fontId="87" fillId="0" borderId="0" xfId="0" applyNumberFormat="1" applyFont="1" applyFill="1"/>
    <xf numFmtId="2" fontId="87" fillId="0" borderId="0" xfId="0" applyNumberFormat="1" applyFont="1" applyFill="1"/>
    <xf numFmtId="174" fontId="87" fillId="0" borderId="0" xfId="0" applyFont="1" applyAlignment="1">
      <alignment vertical="center" wrapText="1"/>
    </xf>
    <xf numFmtId="174" fontId="49" fillId="0" borderId="3" xfId="218" applyFont="1" applyFill="1" applyBorder="1" applyAlignment="1">
      <alignment/>
    </xf>
    <xf numFmtId="174" fontId="6" fillId="0" borderId="0" xfId="218" applyFont="1" applyFill="1" applyBorder="1" applyAlignment="1">
      <alignment horizontal="left"/>
    </xf>
    <xf numFmtId="174" fontId="6" fillId="0" borderId="0" xfId="0" applyFont="1" applyFill="1" applyAlignment="1">
      <alignment/>
    </xf>
    <xf numFmtId="174" fontId="42" fillId="0" borderId="0" xfId="18" applyNumberFormat="1" applyFont="1" applyFill="1" applyBorder="1" applyAlignment="1">
      <alignment/>
    </xf>
    <xf numFmtId="174" fontId="6" fillId="0" borderId="0" xfId="218" applyFont="1" applyFill="1" applyBorder="1" applyAlignment="1">
      <alignment vertical="top"/>
    </xf>
    <xf numFmtId="174" fontId="6" fillId="0" borderId="0" xfId="0" applyFont="1" applyAlignment="1">
      <alignment/>
    </xf>
    <xf numFmtId="174" fontId="6" fillId="63" borderId="0" xfId="0" applyFont="1" applyFill="1"/>
    <xf numFmtId="10" fontId="87" fillId="0" borderId="0" xfId="15" applyNumberFormat="1" applyFont="1" applyAlignment="1">
      <alignment horizontal="center"/>
    </xf>
    <xf numFmtId="174" fontId="87" fillId="0" borderId="0" xfId="0" applyFont="1" applyAlignment="1">
      <alignment horizontal="left"/>
    </xf>
    <xf numFmtId="175" fontId="42" fillId="64" borderId="8" xfId="18" applyNumberFormat="1" applyFont="1" applyFill="1" applyBorder="1" applyAlignment="1">
      <alignment horizontal="center"/>
    </xf>
    <xf numFmtId="10" fontId="42" fillId="0" borderId="0" xfId="15" applyNumberFormat="1" applyFont="1" applyFill="1" applyAlignment="1">
      <alignment horizontal="right"/>
    </xf>
    <xf numFmtId="43" fontId="42" fillId="0" borderId="0" xfId="18" applyFont="1" applyFill="1" applyAlignment="1">
      <alignment horizontal="right"/>
    </xf>
    <xf numFmtId="10" fontId="42" fillId="0" borderId="0" xfId="15" applyNumberFormat="1" applyFont="1" applyFill="1" applyAlignment="1">
      <alignment/>
    </xf>
    <xf numFmtId="174" fontId="91" fillId="0" borderId="0" xfId="0" applyFont="1" applyAlignment="1">
      <alignment horizontal="center" vertical="center"/>
    </xf>
    <xf numFmtId="0" fontId="66" fillId="0" borderId="0" xfId="399" applyFont="1" applyAlignment="1">
      <alignment horizontal="center"/>
      <protection/>
    </xf>
    <xf numFmtId="0" fontId="66" fillId="0" borderId="0" xfId="399" applyFont="1">
      <alignment/>
      <protection/>
    </xf>
    <xf numFmtId="0" fontId="13" fillId="0" borderId="0" xfId="399" applyNumberFormat="1" applyFont="1" applyFill="1" applyAlignment="1">
      <alignment horizontal="center"/>
      <protection/>
    </xf>
    <xf numFmtId="0" fontId="13" fillId="0" borderId="0" xfId="399" applyFont="1" applyFill="1" applyAlignment="1">
      <alignment horizontal="center"/>
      <protection/>
    </xf>
    <xf numFmtId="279" fontId="13" fillId="0" borderId="0" xfId="15" applyNumberFormat="1" applyFont="1" applyFill="1" applyAlignment="1">
      <alignment horizontal="center"/>
    </xf>
    <xf numFmtId="0" fontId="66" fillId="0" borderId="0" xfId="399" applyFont="1" applyAlignment="1">
      <alignment horizontal="center" wrapText="1"/>
      <protection/>
    </xf>
    <xf numFmtId="10" fontId="93" fillId="61" borderId="0" xfId="399" applyNumberFormat="1" applyFont="1" applyFill="1">
      <alignment/>
      <protection/>
    </xf>
    <xf numFmtId="0" fontId="66" fillId="0" borderId="0" xfId="399" applyFont="1" applyFill="1" applyBorder="1" applyAlignment="1">
      <alignment horizontal="center"/>
      <protection/>
    </xf>
    <xf numFmtId="0" fontId="66" fillId="0" borderId="0" xfId="399" applyFont="1" applyFill="1" applyBorder="1">
      <alignment/>
      <protection/>
    </xf>
    <xf numFmtId="0" fontId="13" fillId="0" borderId="0" xfId="399" applyNumberFormat="1" applyFont="1" applyFill="1" applyBorder="1" applyAlignment="1">
      <alignment horizontal="center"/>
      <protection/>
    </xf>
    <xf numFmtId="0" fontId="13" fillId="0" borderId="0" xfId="399" applyFont="1" applyFill="1" applyBorder="1" applyAlignment="1">
      <alignment horizontal="center"/>
      <protection/>
    </xf>
    <xf numFmtId="279" fontId="13" fillId="0" borderId="0" xfId="15" applyNumberFormat="1" applyFont="1" applyFill="1" applyBorder="1" applyAlignment="1">
      <alignment horizontal="center"/>
    </xf>
    <xf numFmtId="0" fontId="66" fillId="0" borderId="0" xfId="399" applyFont="1" applyFill="1" applyBorder="1" applyAlignment="1">
      <alignment horizontal="center" wrapText="1"/>
      <protection/>
    </xf>
    <xf numFmtId="10" fontId="93" fillId="0" borderId="0" xfId="399" applyNumberFormat="1" applyFont="1" applyFill="1" applyBorder="1">
      <alignment/>
      <protection/>
    </xf>
    <xf numFmtId="10" fontId="66" fillId="0" borderId="0" xfId="399" applyNumberFormat="1" applyFont="1" applyFill="1" applyBorder="1">
      <alignment/>
      <protection/>
    </xf>
    <xf numFmtId="0" fontId="94" fillId="0" borderId="0" xfId="399" applyFont="1" applyFill="1" applyBorder="1">
      <alignment/>
      <protection/>
    </xf>
    <xf numFmtId="174" fontId="42" fillId="0" borderId="0" xfId="0" applyFont="1" applyAlignment="1">
      <alignment horizontal="center" vertical="center"/>
    </xf>
    <xf numFmtId="43" fontId="87" fillId="0" borderId="0" xfId="18" applyNumberFormat="1" applyFont="1" applyAlignment="1">
      <alignment/>
    </xf>
    <xf numFmtId="0" fontId="42" fillId="0" borderId="0" xfId="205" applyNumberFormat="1" applyFont="1" applyFill="1" applyAlignment="1">
      <alignment vertical="top" wrapText="1"/>
      <protection/>
    </xf>
    <xf numFmtId="174" fontId="42" fillId="0" borderId="0" xfId="0" applyFont="1" applyFill="1" applyAlignment="1">
      <alignment horizontal="left" vertical="center" wrapText="1"/>
    </xf>
    <xf numFmtId="0" fontId="42" fillId="0" borderId="0" xfId="0" applyNumberFormat="1" applyFont="1" applyAlignment="1">
      <alignment horizontal="center"/>
    </xf>
    <xf numFmtId="0" fontId="87" fillId="0" borderId="0" xfId="18" applyNumberFormat="1" applyFont="1" applyAlignment="1">
      <alignment horizontal="center"/>
    </xf>
    <xf numFmtId="174" fontId="95" fillId="63" borderId="0" xfId="0" applyFont="1" applyFill="1"/>
    <xf numFmtId="174" fontId="97" fillId="63" borderId="0" xfId="0" applyFont="1" applyFill="1"/>
    <xf numFmtId="174" fontId="97" fillId="63" borderId="0" xfId="0" applyFont="1" applyFill="1" applyAlignment="1">
      <alignment/>
    </xf>
    <xf numFmtId="2" fontId="95" fillId="0" borderId="0" xfId="0" applyNumberFormat="1" applyFont="1" applyAlignment="1">
      <alignment horizontal="center"/>
    </xf>
    <xf numFmtId="10" fontId="95" fillId="0" borderId="0" xfId="15" applyNumberFormat="1" applyFont="1" applyAlignment="1">
      <alignment horizontal="center"/>
    </xf>
    <xf numFmtId="174" fontId="98" fillId="0" borderId="0" xfId="0" applyFont="1" applyAlignment="1">
      <alignment/>
    </xf>
    <xf numFmtId="174" fontId="95" fillId="0" borderId="0" xfId="0" applyFont="1" applyFill="1"/>
    <xf numFmtId="0" fontId="42" fillId="0" borderId="0" xfId="404" applyFont="1" applyAlignment="1">
      <alignment vertical="center"/>
      <protection/>
    </xf>
    <xf numFmtId="174" fontId="42" fillId="0" borderId="0" xfId="0" applyFont="1" applyAlignment="1">
      <alignment/>
    </xf>
    <xf numFmtId="174" fontId="42" fillId="0" borderId="0" xfId="0" applyFont="1" applyFill="1" applyAlignment="1">
      <alignment/>
    </xf>
    <xf numFmtId="49" fontId="42" fillId="0" borderId="0" xfId="0" applyNumberFormat="1" applyFont="1" applyFill="1" applyAlignment="1">
      <alignment horizontal="center"/>
    </xf>
    <xf numFmtId="0" fontId="42" fillId="0" borderId="0" xfId="0" applyNumberFormat="1" applyFont="1" applyFill="1" applyBorder="1" applyAlignment="1" applyProtection="1">
      <alignment/>
      <protection/>
    </xf>
    <xf numFmtId="174" fontId="42" fillId="63" borderId="0" xfId="0" applyNumberFormat="1" applyFont="1" applyFill="1" applyBorder="1" applyAlignment="1" applyProtection="1">
      <alignment/>
      <protection/>
    </xf>
    <xf numFmtId="174" fontId="42" fillId="0" borderId="0" xfId="226" applyFont="1" applyFill="1" applyBorder="1" applyAlignment="1">
      <alignment vertical="top"/>
    </xf>
    <xf numFmtId="174" fontId="42" fillId="0" borderId="0" xfId="0" applyFont="1" applyAlignment="1">
      <alignment horizontal="left" vertical="center"/>
    </xf>
    <xf numFmtId="174" fontId="13" fillId="0" borderId="0" xfId="0" applyFont="1" applyAlignment="1">
      <alignment horizontal="center" vertical="center"/>
    </xf>
    <xf numFmtId="9" fontId="42" fillId="61" borderId="0" xfId="18" applyNumberFormat="1" applyFont="1" applyFill="1" applyAlignment="1">
      <alignment horizontal="right"/>
    </xf>
    <xf numFmtId="9" fontId="42" fillId="61" borderId="0" xfId="18" applyNumberFormat="1" applyFont="1" applyFill="1" applyAlignment="1" applyProtection="1">
      <alignment vertical="top"/>
      <protection locked="0"/>
    </xf>
    <xf numFmtId="164" fontId="42" fillId="61" borderId="0" xfId="18" applyNumberFormat="1" applyFont="1" applyFill="1" applyAlignment="1" applyProtection="1">
      <alignment vertical="top"/>
      <protection locked="0"/>
    </xf>
    <xf numFmtId="175" fontId="42" fillId="0" borderId="0" xfId="209" applyNumberFormat="1" applyFont="1">
      <alignment/>
      <protection/>
    </xf>
    <xf numFmtId="10" fontId="13" fillId="0" borderId="0" xfId="15" applyNumberFormat="1" applyFont="1" applyAlignment="1">
      <alignment/>
    </xf>
    <xf numFmtId="43" fontId="42" fillId="0" borderId="0" xfId="18" applyNumberFormat="1" applyFont="1" applyFill="1" applyAlignment="1">
      <alignment horizontal="right"/>
    </xf>
    <xf numFmtId="0" fontId="91" fillId="0" borderId="0" xfId="396" applyFont="1">
      <alignment/>
      <protection/>
    </xf>
    <xf numFmtId="0" fontId="114" fillId="0" borderId="0" xfId="396" applyFont="1">
      <alignment/>
      <protection/>
    </xf>
    <xf numFmtId="0" fontId="114" fillId="0" borderId="0" xfId="396" applyFont="1" applyAlignment="1">
      <alignment horizontal="right"/>
      <protection/>
    </xf>
    <xf numFmtId="0" fontId="115" fillId="64" borderId="0" xfId="396" applyFont="1" applyFill="1">
      <alignment/>
      <protection/>
    </xf>
    <xf numFmtId="0" fontId="116" fillId="0" borderId="0" xfId="396" applyFont="1">
      <alignment/>
      <protection/>
    </xf>
    <xf numFmtId="0" fontId="116" fillId="0" borderId="0" xfId="396" applyFont="1" applyBorder="1" applyAlignment="1">
      <alignment vertical="center"/>
      <protection/>
    </xf>
    <xf numFmtId="0" fontId="116" fillId="0" borderId="0" xfId="396" applyFont="1" applyBorder="1" applyAlignment="1">
      <alignment horizontal="center" vertical="center" wrapText="1"/>
      <protection/>
    </xf>
    <xf numFmtId="0" fontId="116" fillId="0" borderId="31" xfId="396" applyFont="1" applyBorder="1" applyAlignment="1">
      <alignment horizontal="center" vertical="center"/>
      <protection/>
    </xf>
    <xf numFmtId="0" fontId="116" fillId="0" borderId="0" xfId="396" applyFont="1" applyBorder="1" applyAlignment="1">
      <alignment horizontal="center" vertical="center"/>
      <protection/>
    </xf>
    <xf numFmtId="0" fontId="114" fillId="0" borderId="27" xfId="396" applyFont="1" applyBorder="1" applyAlignment="1">
      <alignment horizontal="center" vertical="center" wrapText="1"/>
      <protection/>
    </xf>
    <xf numFmtId="0" fontId="114" fillId="0" borderId="0" xfId="396" applyFont="1" applyBorder="1" applyAlignment="1">
      <alignment horizontal="center" vertical="center" wrapText="1"/>
      <protection/>
    </xf>
    <xf numFmtId="0" fontId="114" fillId="0" borderId="0" xfId="396" applyFont="1" applyBorder="1" applyAlignment="1">
      <alignment horizontal="left" vertical="center"/>
      <protection/>
    </xf>
    <xf numFmtId="15" fontId="114" fillId="0" borderId="0" xfId="396" applyNumberFormat="1" applyFont="1" applyBorder="1" applyAlignment="1">
      <alignment vertical="center" wrapText="1"/>
      <protection/>
    </xf>
    <xf numFmtId="175" fontId="114" fillId="0" borderId="0" xfId="397" applyNumberFormat="1" applyFont="1" applyBorder="1" applyAlignment="1">
      <alignment horizontal="right" vertical="center" wrapText="1"/>
    </xf>
    <xf numFmtId="175" fontId="114" fillId="0" borderId="0" xfId="397" applyNumberFormat="1" applyFont="1" applyBorder="1" applyAlignment="1">
      <alignment vertical="center" wrapText="1"/>
    </xf>
    <xf numFmtId="175" fontId="114" fillId="64" borderId="0" xfId="397" applyNumberFormat="1" applyFont="1" applyFill="1" applyBorder="1" applyAlignment="1">
      <alignment vertical="center" wrapText="1"/>
    </xf>
    <xf numFmtId="175" fontId="114" fillId="0" borderId="0" xfId="397" applyNumberFormat="1" applyFont="1" applyFill="1" applyBorder="1" applyAlignment="1">
      <alignment horizontal="right" vertical="center" wrapText="1"/>
    </xf>
    <xf numFmtId="175" fontId="114" fillId="64" borderId="0" xfId="397" applyNumberFormat="1" applyFont="1" applyFill="1" applyBorder="1" applyAlignment="1">
      <alignment horizontal="right" vertical="center" wrapText="1"/>
    </xf>
    <xf numFmtId="175" fontId="114" fillId="0" borderId="0" xfId="480" applyNumberFormat="1" applyFont="1" applyBorder="1" applyAlignment="1">
      <alignment/>
    </xf>
    <xf numFmtId="43" fontId="114" fillId="0" borderId="0" xfId="18" applyFont="1"/>
    <xf numFmtId="0" fontId="114" fillId="0" borderId="3" xfId="396" applyFont="1" applyBorder="1" applyAlignment="1">
      <alignment vertical="center" wrapText="1"/>
      <protection/>
    </xf>
    <xf numFmtId="175" fontId="114" fillId="0" borderId="3" xfId="396" applyNumberFormat="1" applyFont="1" applyBorder="1" applyAlignment="1">
      <alignment vertical="center" wrapText="1"/>
      <protection/>
    </xf>
    <xf numFmtId="0" fontId="114" fillId="0" borderId="3" xfId="396" applyFont="1" applyBorder="1" applyAlignment="1">
      <alignment horizontal="right" vertical="center" wrapText="1"/>
      <protection/>
    </xf>
    <xf numFmtId="175" fontId="114" fillId="0" borderId="3" xfId="397" applyNumberFormat="1" applyFont="1" applyBorder="1" applyAlignment="1">
      <alignment vertical="center" wrapText="1"/>
    </xf>
    <xf numFmtId="0" fontId="114" fillId="0" borderId="0" xfId="396" applyFont="1" applyBorder="1" applyAlignment="1">
      <alignment horizontal="right" vertical="center" wrapText="1"/>
      <protection/>
    </xf>
    <xf numFmtId="0" fontId="114" fillId="0" borderId="0" xfId="396" applyFont="1" applyBorder="1" applyAlignment="1">
      <alignment vertical="center" wrapText="1"/>
      <protection/>
    </xf>
    <xf numFmtId="0" fontId="114" fillId="0" borderId="0" xfId="396" applyFont="1" applyBorder="1">
      <alignment/>
      <protection/>
    </xf>
    <xf numFmtId="0" fontId="114" fillId="0" borderId="0" xfId="396" applyFont="1" applyBorder="1" applyAlignment="1">
      <alignment horizontal="justify" vertical="center" wrapText="1"/>
      <protection/>
    </xf>
    <xf numFmtId="0" fontId="114" fillId="0" borderId="0" xfId="396" applyFont="1" applyFill="1">
      <alignment/>
      <protection/>
    </xf>
    <xf numFmtId="175" fontId="114" fillId="0" borderId="0" xfId="397" applyNumberFormat="1" applyFont="1" applyFill="1" applyBorder="1" applyAlignment="1">
      <alignment vertical="center" wrapText="1"/>
    </xf>
    <xf numFmtId="175" fontId="116" fillId="0" borderId="0" xfId="396" applyNumberFormat="1" applyFont="1">
      <alignment/>
      <protection/>
    </xf>
    <xf numFmtId="0" fontId="114" fillId="0" borderId="0" xfId="396" applyFont="1" applyFill="1" applyBorder="1">
      <alignment/>
      <protection/>
    </xf>
    <xf numFmtId="0" fontId="116" fillId="0" borderId="0" xfId="396" applyFont="1" applyFill="1" applyBorder="1">
      <alignment/>
      <protection/>
    </xf>
    <xf numFmtId="175" fontId="116" fillId="0" borderId="0" xfId="397" applyNumberFormat="1" applyFont="1" applyFill="1" applyBorder="1" applyAlignment="1">
      <alignment vertical="center" wrapText="1"/>
    </xf>
    <xf numFmtId="175" fontId="114" fillId="0" borderId="0" xfId="18" applyNumberFormat="1" applyFont="1"/>
    <xf numFmtId="175" fontId="33" fillId="0" borderId="0" xfId="18" applyNumberFormat="1" applyFont="1" applyFill="1" applyAlignment="1">
      <alignment horizontal="center"/>
    </xf>
    <xf numFmtId="280" fontId="114" fillId="0" borderId="0" xfId="18" applyNumberFormat="1" applyFont="1" applyBorder="1" applyAlignment="1">
      <alignment horizontal="right" vertical="center" wrapText="1"/>
    </xf>
    <xf numFmtId="175" fontId="114" fillId="0" borderId="0" xfId="396" applyNumberFormat="1" applyFont="1">
      <alignment/>
      <protection/>
    </xf>
    <xf numFmtId="0" fontId="117" fillId="0" borderId="0" xfId="396" applyFont="1">
      <alignment/>
      <protection/>
    </xf>
    <xf numFmtId="43" fontId="114" fillId="0" borderId="0" xfId="396" applyNumberFormat="1" applyFont="1" applyBorder="1">
      <alignment/>
      <protection/>
    </xf>
    <xf numFmtId="0" fontId="118" fillId="0" borderId="0" xfId="204" applyFont="1" applyAlignment="1">
      <alignment horizontal="left" indent="1"/>
      <protection/>
    </xf>
    <xf numFmtId="0" fontId="119" fillId="0" borderId="0" xfId="396" applyFont="1">
      <alignment/>
      <protection/>
    </xf>
    <xf numFmtId="0" fontId="42" fillId="64" borderId="0" xfId="18" applyNumberFormat="1" applyFont="1" applyFill="1"/>
    <xf numFmtId="1" fontId="42" fillId="64" borderId="0" xfId="18" applyNumberFormat="1" applyFont="1" applyFill="1"/>
    <xf numFmtId="10" fontId="42" fillId="64" borderId="0" xfId="15" applyNumberFormat="1" applyFont="1" applyFill="1"/>
    <xf numFmtId="10" fontId="42" fillId="64" borderId="0" xfId="18" applyNumberFormat="1" applyFont="1" applyFill="1" applyAlignment="1">
      <alignment/>
    </xf>
    <xf numFmtId="10" fontId="66" fillId="0" borderId="0" xfId="15" applyNumberFormat="1" applyFont="1"/>
    <xf numFmtId="10" fontId="66" fillId="0" borderId="1" xfId="15" applyNumberFormat="1" applyFont="1" applyBorder="1"/>
    <xf numFmtId="10" fontId="13" fillId="0" borderId="1" xfId="15" applyNumberFormat="1" applyFont="1" applyBorder="1" applyAlignment="1">
      <alignment/>
    </xf>
    <xf numFmtId="43" fontId="114" fillId="0" borderId="0" xfId="396" applyNumberFormat="1" applyFont="1">
      <alignment/>
      <protection/>
    </xf>
    <xf numFmtId="1" fontId="13" fillId="0" borderId="0" xfId="18" applyNumberFormat="1" applyFont="1" applyFill="1" applyAlignment="1">
      <alignment/>
    </xf>
    <xf numFmtId="43" fontId="118" fillId="64" borderId="34" xfId="18" applyFont="1" applyFill="1" applyBorder="1"/>
    <xf numFmtId="175" fontId="114" fillId="0" borderId="1" xfId="397" applyNumberFormat="1" applyFont="1" applyBorder="1" applyAlignment="1">
      <alignment vertical="center" wrapText="1"/>
    </xf>
    <xf numFmtId="175" fontId="114" fillId="0" borderId="0" xfId="104" applyNumberFormat="1" applyFont="1" applyBorder="1" applyAlignment="1">
      <alignment vertical="center" wrapText="1"/>
    </xf>
    <xf numFmtId="10" fontId="42" fillId="0" borderId="0" xfId="0" applyNumberFormat="1" applyFont="1" applyAlignment="1">
      <alignment/>
    </xf>
    <xf numFmtId="282" fontId="42" fillId="0" borderId="0" xfId="0" applyNumberFormat="1" applyFont="1" applyAlignment="1">
      <alignment/>
    </xf>
    <xf numFmtId="0" fontId="114" fillId="0" borderId="0" xfId="396" applyFont="1" applyFill="1" applyBorder="1" applyAlignment="1">
      <alignment horizontal="right" vertical="center" wrapText="1"/>
      <protection/>
    </xf>
    <xf numFmtId="0" fontId="114" fillId="0" borderId="0" xfId="396" applyFont="1" applyFill="1" applyBorder="1" applyAlignment="1">
      <alignment horizontal="center" vertical="center" wrapText="1"/>
      <protection/>
    </xf>
    <xf numFmtId="175" fontId="33" fillId="0" borderId="3" xfId="397" applyNumberFormat="1" applyFont="1" applyFill="1" applyBorder="1" applyAlignment="1">
      <alignment vertical="center" wrapText="1"/>
    </xf>
    <xf numFmtId="174" fontId="42" fillId="0" borderId="0" xfId="228" applyFont="1" applyAlignment="1">
      <alignment horizontal="center"/>
    </xf>
    <xf numFmtId="49" fontId="42" fillId="0" borderId="0" xfId="228" applyNumberFormat="1" applyFont="1" applyAlignment="1" applyProtection="1">
      <alignment horizontal="center"/>
      <protection locked="0"/>
    </xf>
    <xf numFmtId="0" fontId="42" fillId="0" borderId="0" xfId="228" applyNumberFormat="1" applyFont="1" applyFill="1" applyAlignment="1" applyProtection="1">
      <alignment vertical="top" wrapText="1"/>
      <protection locked="0"/>
    </xf>
    <xf numFmtId="0" fontId="79" fillId="0" borderId="0" xfId="228" applyNumberFormat="1" applyFont="1" applyFill="1" applyAlignment="1" applyProtection="1">
      <alignment vertical="top" wrapText="1"/>
      <protection locked="0"/>
    </xf>
    <xf numFmtId="174" fontId="42" fillId="0" borderId="0" xfId="0" applyFont="1" applyFill="1" applyAlignment="1">
      <alignment horizontal="left" wrapText="1"/>
    </xf>
    <xf numFmtId="0" fontId="42" fillId="0" borderId="0" xfId="228" applyNumberFormat="1" applyFont="1" applyFill="1" applyAlignment="1" quotePrefix="1">
      <alignment vertical="top" wrapText="1"/>
    </xf>
    <xf numFmtId="0" fontId="42" fillId="0" borderId="0" xfId="228" applyNumberFormat="1" applyFont="1" applyFill="1" applyAlignment="1">
      <alignment vertical="top" wrapText="1"/>
    </xf>
    <xf numFmtId="0" fontId="42" fillId="0" borderId="0" xfId="205" applyNumberFormat="1" applyFont="1" applyFill="1" applyAlignment="1" quotePrefix="1">
      <alignment vertical="top" wrapText="1"/>
      <protection/>
    </xf>
    <xf numFmtId="0" fontId="42" fillId="0" borderId="0" xfId="205" applyNumberFormat="1" applyFont="1" applyFill="1" applyAlignment="1">
      <alignment vertical="top" wrapText="1"/>
      <protection/>
    </xf>
    <xf numFmtId="0" fontId="42" fillId="63" borderId="0" xfId="0" applyNumberFormat="1" applyFont="1" applyFill="1" applyBorder="1" applyAlignment="1" applyProtection="1">
      <alignment vertical="top" wrapText="1"/>
      <protection/>
    </xf>
    <xf numFmtId="0" fontId="42" fillId="0" borderId="0" xfId="223" applyFont="1" applyFill="1" applyAlignment="1">
      <alignment vertical="top" wrapText="1"/>
    </xf>
    <xf numFmtId="0" fontId="42" fillId="0" borderId="0" xfId="0" applyNumberFormat="1" applyFont="1" applyFill="1" applyBorder="1" applyAlignment="1">
      <alignment horizontal="left" vertical="top" wrapText="1"/>
    </xf>
    <xf numFmtId="174" fontId="33" fillId="0" borderId="0" xfId="0" applyFont="1" applyAlignment="1">
      <alignment horizontal="left" vertical="center" wrapText="1"/>
    </xf>
    <xf numFmtId="174" fontId="42" fillId="0" borderId="0" xfId="218" applyFont="1" applyFill="1" applyBorder="1" applyAlignment="1">
      <alignment horizontal="left"/>
    </xf>
    <xf numFmtId="174" fontId="42" fillId="0" borderId="0" xfId="218" applyFont="1" applyFill="1" applyBorder="1" applyAlignment="1">
      <alignment horizontal="left" vertical="top" wrapText="1"/>
    </xf>
    <xf numFmtId="174" fontId="42" fillId="0" borderId="0" xfId="218" applyFont="1" applyFill="1" applyBorder="1" applyAlignment="1">
      <alignment horizontal="left" wrapText="1"/>
    </xf>
    <xf numFmtId="174" fontId="42" fillId="0" borderId="0" xfId="218" applyFont="1" applyAlignment="1">
      <alignment horizontal="left" vertical="top" wrapText="1"/>
    </xf>
    <xf numFmtId="174" fontId="42" fillId="0" borderId="33" xfId="0" applyFont="1" applyBorder="1" applyAlignment="1">
      <alignment horizontal="center"/>
    </xf>
    <xf numFmtId="174" fontId="42" fillId="0" borderId="34" xfId="0" applyFont="1" applyBorder="1" applyAlignment="1">
      <alignment horizontal="center"/>
    </xf>
    <xf numFmtId="174" fontId="42" fillId="0" borderId="29" xfId="0" applyFont="1" applyBorder="1" applyAlignment="1">
      <alignment horizontal="center"/>
    </xf>
    <xf numFmtId="174" fontId="42" fillId="0" borderId="35" xfId="0" applyFont="1" applyBorder="1" applyAlignment="1">
      <alignment horizontal="center"/>
    </xf>
    <xf numFmtId="174" fontId="42" fillId="0" borderId="0" xfId="0" applyFont="1" applyFill="1" applyAlignment="1">
      <alignment horizontal="left" vertical="top" wrapText="1"/>
    </xf>
    <xf numFmtId="0" fontId="42" fillId="0" borderId="0" xfId="205" applyNumberFormat="1" applyFont="1" applyFill="1" applyAlignment="1">
      <alignment horizontal="left" vertical="top" wrapText="1"/>
      <protection/>
    </xf>
    <xf numFmtId="174" fontId="49" fillId="0" borderId="0" xfId="0" applyFont="1" applyAlignment="1">
      <alignment horizontal="center"/>
    </xf>
    <xf numFmtId="0" fontId="49" fillId="0" borderId="0" xfId="229" applyFont="1" applyAlignment="1">
      <alignment horizontal="center"/>
      <protection/>
    </xf>
    <xf numFmtId="174" fontId="42" fillId="0" borderId="0" xfId="0" applyFont="1" applyFill="1" applyAlignment="1">
      <alignment horizontal="left" vertical="center" wrapText="1"/>
    </xf>
    <xf numFmtId="0" fontId="71" fillId="0" borderId="0" xfId="205" applyNumberFormat="1" applyFont="1" applyFill="1" applyAlignment="1">
      <alignment horizontal="left" vertical="top" wrapText="1"/>
      <protection/>
    </xf>
    <xf numFmtId="0" fontId="116" fillId="0" borderId="33" xfId="396" applyFont="1" applyBorder="1" applyAlignment="1">
      <alignment horizontal="center" vertical="center"/>
      <protection/>
    </xf>
    <xf numFmtId="0" fontId="116" fillId="0" borderId="3" xfId="396" applyFont="1" applyBorder="1" applyAlignment="1">
      <alignment horizontal="center" vertical="center"/>
      <protection/>
    </xf>
    <xf numFmtId="0" fontId="116" fillId="0" borderId="34" xfId="396" applyFont="1" applyBorder="1" applyAlignment="1">
      <alignment horizontal="center" vertical="center"/>
      <protection/>
    </xf>
    <xf numFmtId="0" fontId="116" fillId="0" borderId="28" xfId="396" applyFont="1" applyBorder="1" applyAlignment="1">
      <alignment horizontal="center" vertical="center"/>
      <protection/>
    </xf>
    <xf numFmtId="0" fontId="116" fillId="0" borderId="7" xfId="396" applyFont="1" applyBorder="1" applyAlignment="1">
      <alignment horizontal="center" vertical="center"/>
      <protection/>
    </xf>
    <xf numFmtId="0" fontId="116" fillId="0" borderId="36" xfId="396" applyFont="1" applyBorder="1" applyAlignment="1">
      <alignment horizontal="center" vertical="center"/>
      <protection/>
    </xf>
    <xf numFmtId="0" fontId="91" fillId="0" borderId="0" xfId="396" applyFont="1" applyFill="1" applyAlignment="1">
      <alignment horizontal="center"/>
      <protection/>
    </xf>
    <xf numFmtId="0" fontId="91" fillId="0" borderId="0" xfId="396" applyFont="1" applyAlignment="1">
      <alignment horizontal="center"/>
      <protection/>
    </xf>
    <xf numFmtId="0" fontId="91" fillId="64" borderId="0" xfId="396" applyFont="1" applyFill="1" applyAlignment="1">
      <alignment horizontal="center"/>
      <protection/>
    </xf>
    <xf numFmtId="174" fontId="42" fillId="0" borderId="10" xfId="0" applyFont="1" applyFill="1" applyBorder="1" applyAlignment="1">
      <alignment horizontal="center"/>
    </xf>
    <xf numFmtId="174" fontId="42" fillId="0" borderId="0" xfId="0" applyFont="1" applyFill="1" applyBorder="1" applyAlignment="1">
      <alignment horizontal="center"/>
    </xf>
    <xf numFmtId="174" fontId="42" fillId="0" borderId="12" xfId="0" applyFont="1" applyFill="1" applyBorder="1" applyAlignment="1">
      <alignment horizontal="center"/>
    </xf>
    <xf numFmtId="0" fontId="42" fillId="0" borderId="0" xfId="218" applyNumberFormat="1" applyFont="1" applyFill="1" applyBorder="1" applyAlignment="1" applyProtection="1">
      <alignment horizontal="center"/>
      <protection locked="0"/>
    </xf>
    <xf numFmtId="0" fontId="42" fillId="0" borderId="0" xfId="0" applyNumberFormat="1" applyFont="1" applyAlignment="1">
      <alignment horizontal="center"/>
    </xf>
    <xf numFmtId="10" fontId="42" fillId="0" borderId="0" xfId="15" applyNumberFormat="1" applyFont="1" applyFill="1" applyAlignment="1">
      <alignment horizontal="center"/>
    </xf>
  </cellXfs>
  <cellStyles count="541">
    <cellStyle name="Normal" xfId="0" builtinId="0"/>
    <cellStyle name="Percent" xfId="15" builtinId="5"/>
    <cellStyle name="Currency" xfId="16" builtinId="4"/>
    <cellStyle name="Currency [0]" xfId="17" builtinId="7"/>
    <cellStyle name="Comma" xfId="18" builtinId="3"/>
    <cellStyle name="Comma [0]" xfId="19" builtinId="6"/>
    <cellStyle name="=C:\WINNT35\SYSTEM32\COMMAND.COM" xfId="20"/>
    <cellStyle name="¢ Currency [1]" xfId="21"/>
    <cellStyle name="¢ Currency [2]" xfId="22"/>
    <cellStyle name="¢ Currency [3]" xfId="23"/>
    <cellStyle name="£ Currency [0]" xfId="24"/>
    <cellStyle name="£ Currency [1]" xfId="25"/>
    <cellStyle name="£ Currency [2]" xfId="26"/>
    <cellStyle name="Basic" xfId="27"/>
    <cellStyle name="black" xfId="28"/>
    <cellStyle name="blu" xfId="29"/>
    <cellStyle name="bot" xfId="30"/>
    <cellStyle name="Bullet" xfId="31"/>
    <cellStyle name="Bullet [0]" xfId="32"/>
    <cellStyle name="Bullet [2]" xfId="33"/>
    <cellStyle name="Bullet [4]" xfId="34"/>
    <cellStyle name="c" xfId="35"/>
    <cellStyle name="c," xfId="36"/>
    <cellStyle name="c_HardInc " xfId="37"/>
    <cellStyle name="c_HardInc _ITC Great Plains Formula 1-12-09a" xfId="38"/>
    <cellStyle name="C00A" xfId="39"/>
    <cellStyle name="C00B" xfId="40"/>
    <cellStyle name="C00L" xfId="41"/>
    <cellStyle name="C01A" xfId="42"/>
    <cellStyle name="C01B" xfId="43"/>
    <cellStyle name="C01H" xfId="44"/>
    <cellStyle name="C01L" xfId="45"/>
    <cellStyle name="C02A" xfId="46"/>
    <cellStyle name="C02B" xfId="47"/>
    <cellStyle name="C02H" xfId="48"/>
    <cellStyle name="C02L" xfId="49"/>
    <cellStyle name="C03A" xfId="50"/>
    <cellStyle name="C03B" xfId="51"/>
    <cellStyle name="C03H" xfId="52"/>
    <cellStyle name="C03L" xfId="53"/>
    <cellStyle name="C04A" xfId="54"/>
    <cellStyle name="C04B" xfId="55"/>
    <cellStyle name="C04H" xfId="56"/>
    <cellStyle name="C04L" xfId="57"/>
    <cellStyle name="C05A" xfId="58"/>
    <cellStyle name="C05B" xfId="59"/>
    <cellStyle name="C05H" xfId="60"/>
    <cellStyle name="C05L" xfId="61"/>
    <cellStyle name="C05L 2" xfId="62"/>
    <cellStyle name="C06A" xfId="63"/>
    <cellStyle name="C06B" xfId="64"/>
    <cellStyle name="C06H" xfId="65"/>
    <cellStyle name="C06L" xfId="66"/>
    <cellStyle name="C07A" xfId="67"/>
    <cellStyle name="C07B" xfId="68"/>
    <cellStyle name="C07H" xfId="69"/>
    <cellStyle name="C07L" xfId="70"/>
    <cellStyle name="c1" xfId="71"/>
    <cellStyle name="c1," xfId="72"/>
    <cellStyle name="c2" xfId="73"/>
    <cellStyle name="c2," xfId="74"/>
    <cellStyle name="c3" xfId="75"/>
    <cellStyle name="cas" xfId="76"/>
    <cellStyle name="Centered Heading" xfId="77"/>
    <cellStyle name="Comma  - Style1" xfId="78"/>
    <cellStyle name="Comma  - Style2" xfId="79"/>
    <cellStyle name="Comma  - Style3" xfId="80"/>
    <cellStyle name="Comma  - Style4" xfId="81"/>
    <cellStyle name="Comma  - Style5" xfId="82"/>
    <cellStyle name="Comma  - Style6" xfId="83"/>
    <cellStyle name="Comma  - Style7" xfId="84"/>
    <cellStyle name="Comma  - Style8" xfId="85"/>
    <cellStyle name="Comma [0] 2" xfId="86"/>
    <cellStyle name="Comma [1]" xfId="87"/>
    <cellStyle name="Comma [2]" xfId="88"/>
    <cellStyle name="Comma [3]" xfId="89"/>
    <cellStyle name="Comma 0.0" xfId="90"/>
    <cellStyle name="Comma 0.00" xfId="91"/>
    <cellStyle name="Comma 0.000" xfId="92"/>
    <cellStyle name="Comma 0.0000" xfId="93"/>
    <cellStyle name="Comma 10" xfId="94"/>
    <cellStyle name="Comma 11" xfId="95"/>
    <cellStyle name="Comma 2" xfId="96"/>
    <cellStyle name="Comma 2 2" xfId="97"/>
    <cellStyle name="Comma 3" xfId="98"/>
    <cellStyle name="Comma 3 2" xfId="99"/>
    <cellStyle name="Comma 4" xfId="100"/>
    <cellStyle name="Comma 5" xfId="101"/>
    <cellStyle name="Comma 6" xfId="102"/>
    <cellStyle name="Comma 7" xfId="103"/>
    <cellStyle name="Comma 8" xfId="104"/>
    <cellStyle name="Comma 8 2" xfId="105"/>
    <cellStyle name="Comma 9" xfId="106"/>
    <cellStyle name="Comma Input" xfId="107"/>
    <cellStyle name="Comma0" xfId="108"/>
    <cellStyle name="Company Name" xfId="109"/>
    <cellStyle name="Config Data" xfId="110"/>
    <cellStyle name="Currency [1]" xfId="111"/>
    <cellStyle name="Currency [2]" xfId="112"/>
    <cellStyle name="Currency [3]" xfId="113"/>
    <cellStyle name="Currency 0.0" xfId="114"/>
    <cellStyle name="Currency 0.00" xfId="115"/>
    <cellStyle name="Currency 0.000" xfId="116"/>
    <cellStyle name="Currency 0.0000" xfId="117"/>
    <cellStyle name="Currency 2" xfId="118"/>
    <cellStyle name="Currency 2 2" xfId="119"/>
    <cellStyle name="Currency 3" xfId="120"/>
    <cellStyle name="Currency 3 2" xfId="121"/>
    <cellStyle name="Currency 4" xfId="122"/>
    <cellStyle name="Currency Input" xfId="123"/>
    <cellStyle name="Currency0" xfId="124"/>
    <cellStyle name="d" xfId="125"/>
    <cellStyle name="d," xfId="126"/>
    <cellStyle name="d1" xfId="127"/>
    <cellStyle name="d1," xfId="128"/>
    <cellStyle name="d2" xfId="129"/>
    <cellStyle name="d2," xfId="130"/>
    <cellStyle name="d3" xfId="131"/>
    <cellStyle name="Dash" xfId="132"/>
    <cellStyle name="Date" xfId="133"/>
    <cellStyle name="Date [Abbreviated]" xfId="134"/>
    <cellStyle name="Date [Long Europe]" xfId="135"/>
    <cellStyle name="Date [Long U.S.]" xfId="136"/>
    <cellStyle name="Date [Short Europe]" xfId="137"/>
    <cellStyle name="Date [Short U.S.]" xfId="138"/>
    <cellStyle name="Date_ITCM 2010 Template" xfId="139"/>
    <cellStyle name="Define$0" xfId="140"/>
    <cellStyle name="Define$1" xfId="141"/>
    <cellStyle name="Define$2" xfId="142"/>
    <cellStyle name="Define0" xfId="143"/>
    <cellStyle name="Define1" xfId="144"/>
    <cellStyle name="Define1x" xfId="145"/>
    <cellStyle name="Define2" xfId="146"/>
    <cellStyle name="Define2x" xfId="147"/>
    <cellStyle name="Dollar" xfId="148"/>
    <cellStyle name="e" xfId="149"/>
    <cellStyle name="e1" xfId="150"/>
    <cellStyle name="e2" xfId="151"/>
    <cellStyle name="Euro" xfId="152"/>
    <cellStyle name="Fixed" xfId="153"/>
    <cellStyle name="FOOTER - Style1" xfId="154"/>
    <cellStyle name="g" xfId="155"/>
    <cellStyle name="general" xfId="156"/>
    <cellStyle name="General [C]" xfId="157"/>
    <cellStyle name="General [R]" xfId="158"/>
    <cellStyle name="Green" xfId="159"/>
    <cellStyle name="grey" xfId="160"/>
    <cellStyle name="Header1" xfId="161"/>
    <cellStyle name="Header2" xfId="162"/>
    <cellStyle name="Heading" xfId="163"/>
    <cellStyle name="Heading 1" xfId="164" builtinId="16"/>
    <cellStyle name="Heading 2" xfId="165" builtinId="17"/>
    <cellStyle name="Heading 2 2" xfId="166"/>
    <cellStyle name="Heading No Underline" xfId="167"/>
    <cellStyle name="Heading With Underline" xfId="168"/>
    <cellStyle name="Heading1" xfId="169"/>
    <cellStyle name="Heading2" xfId="170"/>
    <cellStyle name="Headline" xfId="171"/>
    <cellStyle name="Highlight" xfId="172"/>
    <cellStyle name="Hyperlink 2" xfId="173"/>
    <cellStyle name="in" xfId="174"/>
    <cellStyle name="Indented [0]" xfId="175"/>
    <cellStyle name="Indented [2]" xfId="176"/>
    <cellStyle name="Indented [4]" xfId="177"/>
    <cellStyle name="Indented [6]" xfId="178"/>
    <cellStyle name="Input [yellow]" xfId="179"/>
    <cellStyle name="Input$0" xfId="180"/>
    <cellStyle name="Input$1" xfId="181"/>
    <cellStyle name="Input$2" xfId="182"/>
    <cellStyle name="Input0" xfId="183"/>
    <cellStyle name="Input1" xfId="184"/>
    <cellStyle name="Input1x" xfId="185"/>
    <cellStyle name="Input2" xfId="186"/>
    <cellStyle name="Input2x" xfId="187"/>
    <cellStyle name="lborder" xfId="188"/>
    <cellStyle name="LeftSubtitle" xfId="189"/>
    <cellStyle name="Lines" xfId="190"/>
    <cellStyle name="m" xfId="191"/>
    <cellStyle name="m1" xfId="192"/>
    <cellStyle name="m2" xfId="193"/>
    <cellStyle name="m3" xfId="194"/>
    <cellStyle name="Multiple" xfId="195"/>
    <cellStyle name="Negative" xfId="196"/>
    <cellStyle name="no dec" xfId="197"/>
    <cellStyle name="Normal - Style1" xfId="198"/>
    <cellStyle name="Normal 10" xfId="199"/>
    <cellStyle name="Normal 11" xfId="200"/>
    <cellStyle name="Normal 2" xfId="201"/>
    <cellStyle name="Normal 2 2" xfId="202"/>
    <cellStyle name="Normal 3" xfId="203"/>
    <cellStyle name="Normal 3 2" xfId="204"/>
    <cellStyle name="Normal 3_Attach O, GG, Support -New Method 2-14-11" xfId="205"/>
    <cellStyle name="Normal 4" xfId="206"/>
    <cellStyle name="Normal 4 2" xfId="207"/>
    <cellStyle name="Normal 4_Attach O, GG, Support -New Method 2-14-11" xfId="208"/>
    <cellStyle name="Normal 5" xfId="209"/>
    <cellStyle name="Normal 6" xfId="210"/>
    <cellStyle name="Normal 6 2" xfId="211"/>
    <cellStyle name="Normal 6 2 2" xfId="212"/>
    <cellStyle name="Normal 6 2 2 2" xfId="213"/>
    <cellStyle name="Normal 6 2 3" xfId="214"/>
    <cellStyle name="Normal 6 3" xfId="215"/>
    <cellStyle name="Normal 6 3 2" xfId="216"/>
    <cellStyle name="Normal 6 4" xfId="217"/>
    <cellStyle name="Normal 7" xfId="218"/>
    <cellStyle name="Normal 8" xfId="219"/>
    <cellStyle name="Normal 8 2" xfId="220"/>
    <cellStyle name="Normal 9" xfId="221"/>
    <cellStyle name="Normal 9 2" xfId="222"/>
    <cellStyle name="Normal_21 Exh B" xfId="223"/>
    <cellStyle name="Normal_ATC Projected 2008 Monthly Plant Balances for Attachment O 2 (2)" xfId="224"/>
    <cellStyle name="Normal_Attachment GG Example 8 26 09" xfId="225"/>
    <cellStyle name="Normal_Attachment GG Template ER11-28 11-18-10" xfId="226"/>
    <cellStyle name="Normal_Attachment O Support - 2004 True-up" xfId="227"/>
    <cellStyle name="Normal_Attachment Os for 2002 True-up" xfId="228"/>
    <cellStyle name="Normal_Schedule O Info for Mike" xfId="229"/>
    <cellStyle name="Output1_Back" xfId="230"/>
    <cellStyle name="p" xfId="231"/>
    <cellStyle name="p_2010 Attachment O  GG_082709" xfId="232"/>
    <cellStyle name="p_2010 Attachment O Template Supporting Work Papers_ITC Midwest" xfId="233"/>
    <cellStyle name="p_2010 Attachment O Template Supporting Work Papers_ITCTransmission" xfId="234"/>
    <cellStyle name="p_2010 Attachment O Template Supporting Work Papers_METC" xfId="235"/>
    <cellStyle name="p_2Mod11" xfId="236"/>
    <cellStyle name="p_aavidmod11.xls Chart 1" xfId="237"/>
    <cellStyle name="p_aavidmod11.xls Chart 2" xfId="238"/>
    <cellStyle name="p_Attachment O &amp; GG" xfId="239"/>
    <cellStyle name="p_charts for capm" xfId="240"/>
    <cellStyle name="p_DCF" xfId="241"/>
    <cellStyle name="p_DCF_2Mod11" xfId="242"/>
    <cellStyle name="p_DCF_aavidmod11.xls Chart 1" xfId="243"/>
    <cellStyle name="p_DCF_aavidmod11.xls Chart 2" xfId="244"/>
    <cellStyle name="p_DCF_charts for capm" xfId="245"/>
    <cellStyle name="p_DCF_DCF5" xfId="246"/>
    <cellStyle name="p_DCF_Template2" xfId="247"/>
    <cellStyle name="p_DCF_Template2_1" xfId="248"/>
    <cellStyle name="p_DCF_VERA" xfId="249"/>
    <cellStyle name="p_DCF_VERA_1" xfId="250"/>
    <cellStyle name="p_DCF_VERA_1_Template2" xfId="251"/>
    <cellStyle name="p_DCF_VERA_aavidmod11.xls Chart 2" xfId="252"/>
    <cellStyle name="p_DCF_VERA_Model02" xfId="253"/>
    <cellStyle name="p_DCF_VERA_Template2" xfId="254"/>
    <cellStyle name="p_DCF_VERA_VERA" xfId="255"/>
    <cellStyle name="p_DCF_VERA_VERA_1" xfId="256"/>
    <cellStyle name="p_DCF_VERA_VERA_2" xfId="257"/>
    <cellStyle name="p_DCF_VERA_VERA_Template2" xfId="258"/>
    <cellStyle name="p_DCF5" xfId="259"/>
    <cellStyle name="p_ITC Great Plains Formula 1-12-09a" xfId="260"/>
    <cellStyle name="p_ITCM 2010 Template" xfId="261"/>
    <cellStyle name="p_ITCMW 2009 Rate" xfId="262"/>
    <cellStyle name="p_ITCMW 2010 Rate_083109" xfId="263"/>
    <cellStyle name="p_ITCOP 2010 Rate_083109" xfId="264"/>
    <cellStyle name="p_ITCT 2009 Rate" xfId="265"/>
    <cellStyle name="p_ITCT New 2010 Attachment O &amp; GG_111209NL" xfId="266"/>
    <cellStyle name="p_METC 2010 Rate_083109" xfId="267"/>
    <cellStyle name="p_Template2" xfId="268"/>
    <cellStyle name="p_Template2_1" xfId="269"/>
    <cellStyle name="p_VERA" xfId="270"/>
    <cellStyle name="p_VERA_1" xfId="271"/>
    <cellStyle name="p_VERA_1_Template2" xfId="272"/>
    <cellStyle name="p_VERA_aavidmod11.xls Chart 2" xfId="273"/>
    <cellStyle name="p_VERA_Model02" xfId="274"/>
    <cellStyle name="p_VERA_Template2" xfId="275"/>
    <cellStyle name="p_VERA_VERA" xfId="276"/>
    <cellStyle name="p_VERA_VERA_1" xfId="277"/>
    <cellStyle name="p_VERA_VERA_2" xfId="278"/>
    <cellStyle name="p_VERA_VERA_Template2" xfId="279"/>
    <cellStyle name="p1" xfId="280"/>
    <cellStyle name="p2" xfId="281"/>
    <cellStyle name="p3" xfId="282"/>
    <cellStyle name="Percent %" xfId="283"/>
    <cellStyle name="Percent % Long Underline" xfId="284"/>
    <cellStyle name="Percent (0)" xfId="285"/>
    <cellStyle name="Percent [0]" xfId="286"/>
    <cellStyle name="Percent [1]" xfId="287"/>
    <cellStyle name="Percent [2]" xfId="288"/>
    <cellStyle name="Percent [3]" xfId="289"/>
    <cellStyle name="Percent 0.0%" xfId="290"/>
    <cellStyle name="Percent 0.0% Long Underline" xfId="291"/>
    <cellStyle name="Percent 0.00%" xfId="292"/>
    <cellStyle name="Percent 0.00% Long Underline" xfId="293"/>
    <cellStyle name="Percent 0.000%" xfId="294"/>
    <cellStyle name="Percent 0.000% Long Underline" xfId="295"/>
    <cellStyle name="Percent 0.0000%" xfId="296"/>
    <cellStyle name="Percent 0.0000% Long Underline" xfId="297"/>
    <cellStyle name="Percent 2" xfId="298"/>
    <cellStyle name="Percent 2 2" xfId="299"/>
    <cellStyle name="Percent 3" xfId="300"/>
    <cellStyle name="Percent 3 2" xfId="301"/>
    <cellStyle name="Percent 4" xfId="302"/>
    <cellStyle name="Percent 5" xfId="303"/>
    <cellStyle name="Percent 6" xfId="304"/>
    <cellStyle name="Percent 7" xfId="305"/>
    <cellStyle name="Percent Input" xfId="306"/>
    <cellStyle name="Percent0" xfId="307"/>
    <cellStyle name="Percent1" xfId="308"/>
    <cellStyle name="Percent2" xfId="309"/>
    <cellStyle name="PSChar" xfId="310"/>
    <cellStyle name="PSDate" xfId="311"/>
    <cellStyle name="PSDec" xfId="312"/>
    <cellStyle name="PSdesc" xfId="313"/>
    <cellStyle name="PSHeading" xfId="314"/>
    <cellStyle name="PSInt" xfId="315"/>
    <cellStyle name="PSSpacer" xfId="316"/>
    <cellStyle name="PStest" xfId="317"/>
    <cellStyle name="R00A" xfId="318"/>
    <cellStyle name="R00B" xfId="319"/>
    <cellStyle name="R00L" xfId="320"/>
    <cellStyle name="R01A" xfId="321"/>
    <cellStyle name="R01B" xfId="322"/>
    <cellStyle name="R01H" xfId="323"/>
    <cellStyle name="R01L" xfId="324"/>
    <cellStyle name="R02A" xfId="325"/>
    <cellStyle name="R02B" xfId="326"/>
    <cellStyle name="R02H" xfId="327"/>
    <cellStyle name="R02L" xfId="328"/>
    <cellStyle name="R03A" xfId="329"/>
    <cellStyle name="R03B" xfId="330"/>
    <cellStyle name="R03H" xfId="331"/>
    <cellStyle name="R03L" xfId="332"/>
    <cellStyle name="R04A" xfId="333"/>
    <cellStyle name="R04B" xfId="334"/>
    <cellStyle name="R04H" xfId="335"/>
    <cellStyle name="R04L" xfId="336"/>
    <cellStyle name="R05A" xfId="337"/>
    <cellStyle name="R05B" xfId="338"/>
    <cellStyle name="R05H" xfId="339"/>
    <cellStyle name="R05L" xfId="340"/>
    <cellStyle name="R05L 2" xfId="341"/>
    <cellStyle name="R06A" xfId="342"/>
    <cellStyle name="R06B" xfId="343"/>
    <cellStyle name="R06H" xfId="344"/>
    <cellStyle name="R06L" xfId="345"/>
    <cellStyle name="R07A" xfId="346"/>
    <cellStyle name="R07B" xfId="347"/>
    <cellStyle name="R07H" xfId="348"/>
    <cellStyle name="R07L" xfId="349"/>
    <cellStyle name="rborder" xfId="350"/>
    <cellStyle name="red" xfId="351"/>
    <cellStyle name="s_HardInc " xfId="352"/>
    <cellStyle name="s_HardInc _ITC Great Plains Formula 1-12-09a" xfId="353"/>
    <cellStyle name="scenario" xfId="354"/>
    <cellStyle name="SECTION" xfId="355"/>
    <cellStyle name="Sheetmult" xfId="356"/>
    <cellStyle name="Shtmultx" xfId="357"/>
    <cellStyle name="Style 1" xfId="358"/>
    <cellStyle name="STYLE1" xfId="359"/>
    <cellStyle name="STYLE2" xfId="360"/>
    <cellStyle name="System Defined" xfId="361"/>
    <cellStyle name="TableHeading" xfId="362"/>
    <cellStyle name="tb" xfId="363"/>
    <cellStyle name="Tickmark" xfId="364"/>
    <cellStyle name="Title1" xfId="365"/>
    <cellStyle name="top" xfId="366"/>
    <cellStyle name="Total" xfId="367" builtinId="25"/>
    <cellStyle name="w" xfId="368"/>
    <cellStyle name="XComma" xfId="369"/>
    <cellStyle name="XComma 0.0" xfId="370"/>
    <cellStyle name="XComma 0.00" xfId="371"/>
    <cellStyle name="XComma 0.000" xfId="372"/>
    <cellStyle name="XCurrency" xfId="373"/>
    <cellStyle name="XCurrency 0.0" xfId="374"/>
    <cellStyle name="XCurrency 0.00" xfId="375"/>
    <cellStyle name="XCurrency 0.000" xfId="376"/>
    <cellStyle name="yra" xfId="377"/>
    <cellStyle name="yrActual" xfId="378"/>
    <cellStyle name="yre" xfId="379"/>
    <cellStyle name="yrExpect" xfId="380"/>
    <cellStyle name="Comma 8 2 2" xfId="381"/>
    <cellStyle name="Comma 9 2" xfId="382"/>
    <cellStyle name="Normal 10 2" xfId="383"/>
    <cellStyle name="Normal 6 5" xfId="384"/>
    <cellStyle name="Normal 6 2 4" xfId="385"/>
    <cellStyle name="Normal 6 2 2 3" xfId="386"/>
    <cellStyle name="Normal 6 2 2 2 2" xfId="387"/>
    <cellStyle name="Normal 6 2 3 2" xfId="388"/>
    <cellStyle name="Normal 6 3 3" xfId="389"/>
    <cellStyle name="Normal 6 3 2 2" xfId="390"/>
    <cellStyle name="Normal 6 4 2" xfId="391"/>
    <cellStyle name="Normal 8 3" xfId="392"/>
    <cellStyle name="Normal 8 2 2" xfId="393"/>
    <cellStyle name="Normal 9 3" xfId="394"/>
    <cellStyle name="Normal 9 2 2" xfId="395"/>
    <cellStyle name="Normal 12" xfId="396"/>
    <cellStyle name="Comma 12" xfId="397"/>
    <cellStyle name="Percent 8" xfId="398"/>
    <cellStyle name="Normal_interest calc Book1" xfId="399"/>
    <cellStyle name="Normal 8 4" xfId="400"/>
    <cellStyle name="Comma 6 2" xfId="401"/>
    <cellStyle name="Normal 6 2 5" xfId="402"/>
    <cellStyle name="Normal 5 2" xfId="403"/>
    <cellStyle name="Normal 13" xfId="404"/>
    <cellStyle name="20% - Accent1 2" xfId="405"/>
    <cellStyle name="20% - Accent2 2" xfId="406"/>
    <cellStyle name="20% - Accent3 2" xfId="407"/>
    <cellStyle name="20% - Accent4 2" xfId="408"/>
    <cellStyle name="20% - Accent5 2" xfId="409"/>
    <cellStyle name="20% - Accent6 2" xfId="410"/>
    <cellStyle name="40% - Accent1 2" xfId="411"/>
    <cellStyle name="40% - Accent2 2" xfId="412"/>
    <cellStyle name="40% - Accent3 2" xfId="413"/>
    <cellStyle name="40% - Accent4 2" xfId="414"/>
    <cellStyle name="40% - Accent5 2" xfId="415"/>
    <cellStyle name="40% - Accent6 2" xfId="416"/>
    <cellStyle name="60% - Accent1 2" xfId="417"/>
    <cellStyle name="60% - Accent2 2" xfId="418"/>
    <cellStyle name="60% - Accent3 2" xfId="419"/>
    <cellStyle name="60% - Accent4 2" xfId="420"/>
    <cellStyle name="60% - Accent5 2" xfId="421"/>
    <cellStyle name="60% - Accent6 2" xfId="422"/>
    <cellStyle name="Accent1 2" xfId="423"/>
    <cellStyle name="Accent2 2" xfId="424"/>
    <cellStyle name="Accent3 2" xfId="425"/>
    <cellStyle name="Accent4 2" xfId="426"/>
    <cellStyle name="Accent5 2" xfId="427"/>
    <cellStyle name="Accent6 2" xfId="428"/>
    <cellStyle name="Bad 2" xfId="429"/>
    <cellStyle name="Calculation 2" xfId="430"/>
    <cellStyle name="Check Cell 2" xfId="431"/>
    <cellStyle name="Comma 12 2" xfId="432"/>
    <cellStyle name="Comma 6 2 2" xfId="433"/>
    <cellStyle name="Explanatory Text 2" xfId="434"/>
    <cellStyle name="Good 2" xfId="435"/>
    <cellStyle name="Heading 3 2" xfId="436"/>
    <cellStyle name="Heading 4 2" xfId="437"/>
    <cellStyle name="Input 3" xfId="438"/>
    <cellStyle name="Input 2" xfId="439"/>
    <cellStyle name="Linked Cell 2" xfId="440"/>
    <cellStyle name="Neutral 2" xfId="441"/>
    <cellStyle name="Normal 10 3" xfId="442"/>
    <cellStyle name="Normal 10 2 2" xfId="443"/>
    <cellStyle name="Normal 12 2" xfId="444"/>
    <cellStyle name="Normal 13 2" xfId="445"/>
    <cellStyle name="Normal 6 6" xfId="446"/>
    <cellStyle name="Normal 6 2 6" xfId="447"/>
    <cellStyle name="Normal 6 2 2 4" xfId="448"/>
    <cellStyle name="Normal 6 2 2 2 3" xfId="449"/>
    <cellStyle name="Normal 6 2 2 2 2 2" xfId="450"/>
    <cellStyle name="Normal 6 2 2 3 2" xfId="451"/>
    <cellStyle name="Normal 6 2 3 3" xfId="452"/>
    <cellStyle name="Normal 6 2 3 2 2" xfId="453"/>
    <cellStyle name="Normal 6 2 4 2" xfId="454"/>
    <cellStyle name="Normal 6 3 4" xfId="455"/>
    <cellStyle name="Normal 6 3 2 3" xfId="456"/>
    <cellStyle name="Normal 6 3 2 2 2" xfId="457"/>
    <cellStyle name="Normal 6 3 3 2" xfId="458"/>
    <cellStyle name="Normal 6 4 3" xfId="459"/>
    <cellStyle name="Normal 6 4 2 2" xfId="460"/>
    <cellStyle name="Normal 6 5 2" xfId="461"/>
    <cellStyle name="Normal 8 5" xfId="462"/>
    <cellStyle name="Normal 8 2 3" xfId="463"/>
    <cellStyle name="Normal 8 2 2 2" xfId="464"/>
    <cellStyle name="Normal 8 3 2" xfId="465"/>
    <cellStyle name="Normal 8 4 2" xfId="466"/>
    <cellStyle name="Normal 9 4" xfId="467"/>
    <cellStyle name="Normal 9 2 3" xfId="468"/>
    <cellStyle name="Normal 9 2 2 2" xfId="469"/>
    <cellStyle name="Normal 9 3 2" xfId="470"/>
    <cellStyle name="Note 2" xfId="471"/>
    <cellStyle name="Output 2" xfId="472"/>
    <cellStyle name="Percent 8 2" xfId="473"/>
    <cellStyle name="SECTION 2" xfId="474"/>
    <cellStyle name="Title 2" xfId="475"/>
    <cellStyle name="Warning Text 2" xfId="476"/>
    <cellStyle name="Normal 13 3" xfId="477"/>
    <cellStyle name="Comma 13" xfId="478"/>
    <cellStyle name="Percent 9" xfId="479"/>
    <cellStyle name="Comma 5 2" xfId="480"/>
    <cellStyle name="Normal 14" xfId="481"/>
    <cellStyle name="Normal 2 3" xfId="482"/>
    <cellStyle name="Normal 15" xfId="483"/>
    <cellStyle name="Normal 16" xfId="484"/>
    <cellStyle name="Normal 17" xfId="485"/>
    <cellStyle name="Normal 18" xfId="486"/>
    <cellStyle name="Normal 19" xfId="487"/>
    <cellStyle name="Normal 20" xfId="488"/>
    <cellStyle name="Normal 21" xfId="489"/>
    <cellStyle name="Normal 22" xfId="490"/>
    <cellStyle name="Normal 23" xfId="491"/>
    <cellStyle name="SAPDimensionCell" xfId="492"/>
    <cellStyle name="SAPDataCell" xfId="493"/>
    <cellStyle name="SAPDataTotalCell" xfId="494"/>
    <cellStyle name="SAPGroupingFillCell" xfId="495"/>
    <cellStyle name="SAPEditableDataCell" xfId="496"/>
    <cellStyle name="SAPReadonlyDataCell" xfId="497"/>
    <cellStyle name="SAPLockedDataCell" xfId="498"/>
    <cellStyle name="SAPEditableDataTotalCell" xfId="499"/>
    <cellStyle name="SAPReadonlyDataTotalCell" xfId="500"/>
    <cellStyle name="SAPLockedDataTotalCell" xfId="501"/>
    <cellStyle name="SAPExceptionLevel1" xfId="502"/>
    <cellStyle name="SAPExceptionLevel2" xfId="503"/>
    <cellStyle name="SAPExceptionLevel3" xfId="504"/>
    <cellStyle name="SAPExceptionLevel4" xfId="505"/>
    <cellStyle name="SAPExceptionLevel5" xfId="506"/>
    <cellStyle name="SAPExceptionLevel6" xfId="507"/>
    <cellStyle name="SAPExceptionLevel7" xfId="508"/>
    <cellStyle name="SAPExceptionLevel8" xfId="509"/>
    <cellStyle name="SAPExceptionLevel9" xfId="510"/>
    <cellStyle name="SAPBorder" xfId="511"/>
    <cellStyle name="SAPDataRemoved" xfId="512"/>
    <cellStyle name="SAPError" xfId="513"/>
    <cellStyle name="SAPMessageText" xfId="514"/>
    <cellStyle name="SAPMemberCell" xfId="515"/>
    <cellStyle name="SAPMemberTotalCell" xfId="516"/>
    <cellStyle name="SAPHierarchyCell0" xfId="517"/>
    <cellStyle name="SAPHierarchyCell1" xfId="518"/>
    <cellStyle name="SAPHierarchyCell2" xfId="519"/>
    <cellStyle name="SAPHierarchyCell3" xfId="520"/>
    <cellStyle name="SAPHierarchyCell4" xfId="521"/>
    <cellStyle name="SAPEmphasized" xfId="522"/>
    <cellStyle name="SAPEmphasizedTotal" xfId="523"/>
    <cellStyle name="SAPEmphasizedEditableDataCell" xfId="524"/>
    <cellStyle name="SAPEmphasizedEditableDataTotalCell" xfId="525"/>
    <cellStyle name="SAPEmphasizedReadonlyDataCell" xfId="526"/>
    <cellStyle name="SAPEmphasizedReadonlyDataTotalCell" xfId="527"/>
    <cellStyle name="SAPEmphasizedLockedDataCell" xfId="528"/>
    <cellStyle name="SAPEmphasizedLockedDataTotalCell" xfId="529"/>
    <cellStyle name="SAPFormula" xfId="530"/>
    <cellStyle name="Normal 24" xfId="531"/>
    <cellStyle name="Normal 25" xfId="532"/>
    <cellStyle name="Normal 26" xfId="533"/>
    <cellStyle name="Header" xfId="534"/>
    <cellStyle name="SubHeader" xfId="535"/>
    <cellStyle name="ColumnHeader" xfId="536"/>
    <cellStyle name="DetailIndented" xfId="537"/>
    <cellStyle name="TextNumber" xfId="538"/>
    <cellStyle name="DetailTotalNumber" xfId="539"/>
    <cellStyle name="TotalText" xfId="540"/>
    <cellStyle name="TotalNumber" xfId="541"/>
    <cellStyle name="Normal 2 4" xfId="542"/>
    <cellStyle name="Normal 26 2" xfId="543"/>
    <cellStyle name="Normal 24 2" xfId="544"/>
    <cellStyle name="Normal 27" xfId="545"/>
    <cellStyle name="Normal 3 3" xfId="546"/>
    <cellStyle name="Normal 4 3" xfId="547"/>
    <cellStyle name="Normal 2 2 2" xfId="548"/>
    <cellStyle name="Normal 3 2 2" xfId="549"/>
    <cellStyle name="Normal 2 2 2 2" xfId="550"/>
    <cellStyle name="Comma 2 3" xfId="551"/>
    <cellStyle name="Normal 12 3" xfId="552"/>
    <cellStyle name="Comma 12 3" xfId="553"/>
    <cellStyle name="Normal 3 2 2 2" xfId="5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8"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9" Type="http://schemas.openxmlformats.org/officeDocument/2006/relationships/externalLink" Target="externalLinks/externalLink2.xml" /><Relationship Id="rId13" Type="http://schemas.openxmlformats.org/officeDocument/2006/relationships/sharedStrings" Target="sharedStrings.xml" /><Relationship Id="rId21" Type="http://schemas.openxmlformats.org/officeDocument/2006/relationships/externalLink" Target="externalLinks/externalLink4.xml" /><Relationship Id="rId24" Type="http://schemas.openxmlformats.org/officeDocument/2006/relationships/externalLink" Target="externalLinks/externalLink7.xml" /><Relationship Id="rId25" Type="http://schemas.openxmlformats.org/officeDocument/2006/relationships/calcChain" Target="calcChain.xml" /><Relationship Id="rId20" Type="http://schemas.openxmlformats.org/officeDocument/2006/relationships/externalLink" Target="externalLinks/externalLink3.xml" /></Relationships>
</file>

<file path=xl/externalLinks/_rels/externalLink1.xml.rels><?xml version="1.0" encoding="UTF-8" standalone="yes"?><Relationships xmlns="http://schemas.openxmlformats.org/package/2006/relationships"><Relationship Id="rId1" Type="http://schemas.microsoft.com/office/2006/relationships/xlExternalLinkPath/xlPathMissing" Target="file:///\\cleaned"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nee.sharepoint.com/sites/neet/NEET%20Business%20Management/MOPR/2022/03.2022/MOPR_2022.03_Prel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nee.sharepoint.com/_MOPR%20Reporting/2021/01.2021/MOPR_Capital_Employed_v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misf05\vol7\Tax\Accruals\2010\2010&#173;_Tax%20Accrua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bwmqinc-my.sharepoint.com/Taxes/Accruals/2007/Tax%20Accruals_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bwmqinc-my.sharepoint.com/tariffs/2000/formula%20rates/NSP%20xcelcoss%20mis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misf05\vol7\tariffs\2000\formula%20rates\NSP%20xcelcoss%20mi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 val=" TX Due Diligence"/>
      <sheetName val="TX Rentals"/>
      <sheetName val="TX Expirations"/>
      <sheetName val="Removed from Exhibit-TX"/>
      <sheetName val="drop down sheet"/>
      <sheetName val="TX - Fee Property"/>
      <sheetName val="LA Due Diligence"/>
      <sheetName val="Removed from Exhibit-LA"/>
      <sheetName val="WIRE"/>
      <sheetName val="Double Eagle FSS"/>
      <sheetName val="REV-TAX"/>
      <sheetName val="Compressor"/>
      <sheetName val="CASH OUTS"/>
      <sheetName val="LOE &amp; CAPITAL SUMMARY"/>
      <sheetName val="Ending Stock Atlantic Rim"/>
      <sheetName val="Doty royalty"/>
      <sheetName val="Interest"/>
      <sheetName val="Deposits"/>
      <sheetName val="Purchase Price"/>
      <sheetName val="Schedule 6.24"/>
      <sheetName val="TotalAmt"/>
      <sheetName val="Suspense Details"/>
      <sheetName val="Owner Payable"/>
      <sheetName val="Capital 071212"/>
      <sheetName val="OctResponse"/>
      <sheetName val="All Assets"/>
      <sheetName val="DropDownList"/>
      <sheetName val="Land Final"/>
      <sheetName val="Carthage"/>
      <sheetName val="Delaware Basin"/>
      <sheetName val="FRSTCHKHST"/>
      <sheetName val="Marcellus"/>
      <sheetName val="Maverick"/>
      <sheetName val="OH"/>
      <sheetName val="Southern Expl"/>
      <sheetName val="Rockies Expl"/>
      <sheetName val="GGRB-EOR"/>
      <sheetName val="GNB-Uintah"/>
      <sheetName val="Wattenberg"/>
      <sheetName val="CBM-PRB"/>
      <sheetName val="GOM, Midstream, Construction"/>
      <sheetName val="FSS"/>
      <sheetName val="Interest Calculation"/>
      <sheetName val="LOS 072612"/>
      <sheetName val="LABOR"/>
      <sheetName val="Data"/>
      <sheetName val="Removed from &quot;Data&quot;"/>
      <sheetName val="Other Notes on Raw Data"/>
      <sheetName val="Sales-Use Tax"/>
      <sheetName val="El Paso Check Detail"/>
      <sheetName val="Smith Imbal  MCF Conversion "/>
      <sheetName val="ElPaso Jeffries 06 Revision"/>
      <sheetName val="Pipeline Imbalance"/>
      <sheetName val="Operated Ending Stock "/>
      <sheetName val="NON OP WELLS Ending Stock Smith"/>
      <sheetName val="Inventory Pricing Source"/>
      <sheetName val="Pref Right"/>
      <sheetName val="Capital 072612"/>
      <sheetName val="Suspense Smith 083012"/>
      <sheetName val="Additional Suspense"/>
      <sheetName val="Owner Info"/>
      <sheetName val="Suspense Code Legend"/>
      <sheetName val="WELL CROSS REFERENCE"/>
      <sheetName val="Data 20160316"/>
      <sheetName val="Engineering List"/>
      <sheetName val="Opex Area Desc"/>
      <sheetName val="ELM GROVE Final Sale Package"/>
      <sheetName val="Working Interest Only"/>
      <sheetName val="Royalty Int"/>
      <sheetName val="ORRI Int"/>
      <sheetName val="Other"/>
      <sheetName val="Cmpls w WI and ROY"/>
      <sheetName val="Cmpls w WI and ORRI"/>
      <sheetName val="Rem From Eng List"/>
      <sheetName val="Opex Area Description"/>
      <sheetName val="Carthage Final Sale Package"/>
      <sheetName val="Rel Wells 302705"/>
      <sheetName val="Agreement Information"/>
      <sheetName val="Acreage Summary"/>
      <sheetName val="Areal Information"/>
      <sheetName val="Legal Segment Acreage Summary"/>
      <sheetName val="Legal Segment Information"/>
      <sheetName val="Depth Scenarios"/>
      <sheetName val="Depth Information"/>
      <sheetName val="Group 2 Lease Exhibit"/>
      <sheetName val="Group 1 Lease Exhibit"/>
      <sheetName val="Formation Information"/>
      <sheetName val="Formation Summary"/>
      <sheetName val="A-1 Leases"/>
      <sheetName val="A-2 Wells"/>
      <sheetName val="A-3 Undeveloped Leases"/>
      <sheetName val="A-4 Excluded Assets"/>
      <sheetName val="A-5 Contracts"/>
      <sheetName val="A-6 Surface"/>
      <sheetName val="A-7 Permits"/>
      <sheetName val="A-8 Units"/>
      <sheetName val="A-8 Unit Leases"/>
      <sheetName val="A-9 Leased Assets"/>
      <sheetName val="Unit to Lease Xref"/>
      <sheetName val="Agreement Information (2)"/>
      <sheetName val="Eaglebine Acreage WI &amp; NRI"/>
      <sheetName val="Assignment Restrictions"/>
      <sheetName val="Eaglebine Fee Property"/>
    </sheetNames>
    <sheetDataSet>
      <sheetData sheetId="0" refreshError="1"/>
      <sheetData sheetId="1">
        <row r="1">
          <cell r="A1">
            <v>1318106000</v>
          </cell>
        </row>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Line </v>
          </cell>
          <cell r="D5" t="str">
            <v>Balance</v>
          </cell>
          <cell r="F5" t="str">
            <v>Deferred for Year</v>
          </cell>
          <cell r="H5" t="str">
            <v>Allocations to Current Year</v>
          </cell>
          <cell r="M5" t="str">
            <v>Balance</v>
          </cell>
        </row>
        <row r="6">
          <cell r="A6" t="str">
            <v>Number</v>
          </cell>
          <cell r="B6" t="str">
            <v>Allocations</v>
          </cell>
          <cell r="D6" t="str">
            <v>Balance</v>
          </cell>
          <cell r="F6" t="str">
            <v>Account </v>
          </cell>
          <cell r="G6" t="str">
            <v>Amount</v>
          </cell>
          <cell r="H6" t="str">
            <v>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0.07</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Line 8 </v>
          </cell>
          <cell r="D16">
            <v>50009443</v>
          </cell>
          <cell r="G16">
            <v>0</v>
          </cell>
          <cell r="J16">
            <v>4086276</v>
          </cell>
          <cell r="L16">
            <v>17612000</v>
          </cell>
          <cell r="M16">
            <v>28311167</v>
          </cell>
        </row>
        <row r="17">
          <cell r="A17" t="str">
            <v>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0.0628486486486487</v>
          </cell>
        </row>
      </sheetData>
      <sheetData sheetId="16"/>
      <sheetData sheetId="17" refreshError="1"/>
      <sheetData sheetId="18"/>
      <sheetData sheetId="19" refreshError="1">
        <row r="14">
          <cell r="H14">
            <v>0.0628486486486487</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1.69061707523246</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0.0322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v>
          </cell>
          <cell r="G6">
            <v>9849606.03</v>
          </cell>
          <cell r="H6">
            <v>12946939.56</v>
          </cell>
          <cell r="I6">
            <v>13686671.89</v>
          </cell>
          <cell r="J6">
            <v>14935722.7</v>
          </cell>
          <cell r="K6">
            <v>17133180.51</v>
          </cell>
          <cell r="L6">
            <v>21400625.37</v>
          </cell>
          <cell r="M6">
            <v>24307422.79</v>
          </cell>
          <cell r="N6">
            <v>26796130.93</v>
          </cell>
          <cell r="O6">
            <v>32232440.61</v>
          </cell>
        </row>
        <row r="7">
          <cell r="A7" t="str">
            <v>RDLPRM34</v>
          </cell>
          <cell r="B7">
            <v>4204751</v>
          </cell>
          <cell r="C7">
            <v>144431.35</v>
          </cell>
          <cell r="D7">
            <v>4576625.2</v>
          </cell>
          <cell r="E7">
            <v>5359012.36</v>
          </cell>
          <cell r="F7">
            <v>6340060.79</v>
          </cell>
          <cell r="G7">
            <v>7971142</v>
          </cell>
          <cell r="H7">
            <v>8520432.5</v>
          </cell>
          <cell r="I7">
            <v>9989244.77</v>
          </cell>
          <cell r="J7">
            <v>11129885</v>
          </cell>
          <cell r="K7">
            <v>12064996.32</v>
          </cell>
          <cell r="L7">
            <v>13322483.35</v>
          </cell>
          <cell r="M7">
            <v>13955275.08</v>
          </cell>
          <cell r="N7">
            <v>14515417.44</v>
          </cell>
          <cell r="O7">
            <v>15194333.9</v>
          </cell>
        </row>
        <row r="8">
          <cell r="A8" t="str">
            <v>RTSPRD08</v>
          </cell>
          <cell r="B8">
            <v>0</v>
          </cell>
          <cell r="C8">
            <v>0</v>
          </cell>
          <cell r="D8">
            <v>528703.95</v>
          </cell>
          <cell r="E8">
            <v>1226051.18</v>
          </cell>
          <cell r="F8">
            <v>2675130.93</v>
          </cell>
          <cell r="G8">
            <v>1809243.96</v>
          </cell>
          <cell r="H8">
            <v>2564288.67</v>
          </cell>
          <cell r="I8">
            <v>3238857.62</v>
          </cell>
          <cell r="J8">
            <v>3395488.38</v>
          </cell>
          <cell r="K8">
            <v>3972250.79</v>
          </cell>
          <cell r="L8">
            <v>5634854.33</v>
          </cell>
          <cell r="M8">
            <v>5877746.67</v>
          </cell>
          <cell r="N8">
            <v>7008341.56</v>
          </cell>
          <cell r="O8">
            <v>10957367.54</v>
          </cell>
        </row>
        <row r="9">
          <cell r="A9" t="str">
            <v>RDLPCM05</v>
          </cell>
          <cell r="B9">
            <v>0</v>
          </cell>
          <cell r="C9">
            <v>0</v>
          </cell>
          <cell r="D9">
            <v>832570.29</v>
          </cell>
          <cell r="E9">
            <v>2021381.2</v>
          </cell>
          <cell r="F9">
            <v>3461959.91</v>
          </cell>
          <cell r="G9">
            <v>4964117.1</v>
          </cell>
          <cell r="H9">
            <v>6302519.79</v>
          </cell>
          <cell r="I9">
            <v>6734386.45</v>
          </cell>
          <cell r="J9">
            <v>6567679.67</v>
          </cell>
          <cell r="K9">
            <v>7731479.64</v>
          </cell>
          <cell r="L9">
            <v>7694842.44</v>
          </cell>
          <cell r="M9">
            <v>8855311.83</v>
          </cell>
          <cell r="N9">
            <v>9619432.43</v>
          </cell>
          <cell r="O9">
            <v>8325115.07</v>
          </cell>
        </row>
        <row r="10">
          <cell r="A10" t="str">
            <v>RDLPLM60</v>
          </cell>
          <cell r="B10">
            <v>2394934</v>
          </cell>
          <cell r="C10">
            <v>81663.79</v>
          </cell>
          <cell r="D10">
            <v>2225187.65</v>
          </cell>
          <cell r="E10">
            <v>2285226.06</v>
          </cell>
          <cell r="F10">
            <v>2810995.43</v>
          </cell>
          <cell r="G10">
            <v>3811878.59</v>
          </cell>
          <cell r="H10">
            <v>5226604.56</v>
          </cell>
          <cell r="I10">
            <v>5516170.25</v>
          </cell>
          <cell r="J10">
            <v>5727242.84</v>
          </cell>
          <cell r="K10">
            <v>5899893.71</v>
          </cell>
          <cell r="L10">
            <v>6371896.7</v>
          </cell>
          <cell r="M10">
            <v>6441233.73</v>
          </cell>
          <cell r="N10">
            <v>6818379.98</v>
          </cell>
          <cell r="O10">
            <v>7013324.26</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v>
          </cell>
          <cell r="L11">
            <v>6130848.98</v>
          </cell>
          <cell r="M11">
            <v>5811008.91</v>
          </cell>
          <cell r="N11">
            <v>6216448.71</v>
          </cell>
          <cell r="O11">
            <v>6775182.93</v>
          </cell>
        </row>
        <row r="12">
          <cell r="A12" t="str">
            <v>RDSPRG84</v>
          </cell>
          <cell r="B12">
            <v>2102586</v>
          </cell>
          <cell r="C12">
            <v>201800.97</v>
          </cell>
          <cell r="D12">
            <v>2121201.75</v>
          </cell>
          <cell r="E12">
            <v>2144695.88</v>
          </cell>
          <cell r="F12">
            <v>2200734.78</v>
          </cell>
          <cell r="G12">
            <v>2214385.17</v>
          </cell>
          <cell r="H12">
            <v>2247070.73</v>
          </cell>
          <cell r="I12">
            <v>2287000.12</v>
          </cell>
          <cell r="J12">
            <v>2368196.71</v>
          </cell>
          <cell r="K12">
            <v>2413320.49</v>
          </cell>
          <cell r="L12">
            <v>2445868.67</v>
          </cell>
          <cell r="M12">
            <v>2541493.1</v>
          </cell>
          <cell r="N12">
            <v>2604214.42</v>
          </cell>
          <cell r="O12">
            <v>2869889.51</v>
          </cell>
        </row>
        <row r="14">
          <cell r="A14" t="str">
            <v>RDSPRD99</v>
          </cell>
          <cell r="B14">
            <v>0</v>
          </cell>
          <cell r="C14">
            <v>0</v>
          </cell>
          <cell r="D14">
            <v>0</v>
          </cell>
          <cell r="E14">
            <v>27451.05</v>
          </cell>
          <cell r="F14">
            <v>1080050.31</v>
          </cell>
          <cell r="G14">
            <v>1164784.59</v>
          </cell>
          <cell r="H14">
            <v>1203124.89</v>
          </cell>
          <cell r="I14">
            <v>1234777.19</v>
          </cell>
          <cell r="J14">
            <v>3252945.95</v>
          </cell>
          <cell r="K14">
            <v>3375460.52</v>
          </cell>
          <cell r="L14">
            <v>3459954.07</v>
          </cell>
          <cell r="M14">
            <v>3678816.36</v>
          </cell>
          <cell r="N14">
            <v>3778441.1</v>
          </cell>
          <cell r="O14">
            <v>3961636.48</v>
          </cell>
        </row>
        <row r="15">
          <cell r="A15" t="str">
            <v>RDSPRD75</v>
          </cell>
          <cell r="B15">
            <v>765117</v>
          </cell>
          <cell r="C15">
            <v>41453.27</v>
          </cell>
          <cell r="D15">
            <v>993549.42</v>
          </cell>
          <cell r="E15">
            <v>1320194.19</v>
          </cell>
          <cell r="F15">
            <v>1707993.94</v>
          </cell>
          <cell r="G15">
            <v>2379428.47</v>
          </cell>
          <cell r="H15">
            <v>2994806.6</v>
          </cell>
          <cell r="I15">
            <v>3130824.6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1591957.12</v>
          </cell>
          <cell r="E16">
            <v>1641883.42</v>
          </cell>
          <cell r="F16">
            <v>1659074.1</v>
          </cell>
          <cell r="G16">
            <v>1735588.43</v>
          </cell>
          <cell r="H16">
            <v>1799632.19</v>
          </cell>
          <cell r="I16">
            <v>1822964.83</v>
          </cell>
          <cell r="J16">
            <v>1837440.85</v>
          </cell>
          <cell r="K16">
            <v>1887028.66</v>
          </cell>
          <cell r="L16">
            <v>2028909.9</v>
          </cell>
          <cell r="M16">
            <v>2171394.17</v>
          </cell>
          <cell r="N16">
            <v>2273463.16</v>
          </cell>
          <cell r="O16">
            <v>2517646.8</v>
          </cell>
        </row>
        <row r="17">
          <cell r="A17" t="str">
            <v>RDLPLM20</v>
          </cell>
          <cell r="B17">
            <v>0</v>
          </cell>
          <cell r="C17">
            <v>0</v>
          </cell>
          <cell r="D17">
            <v>6882.81</v>
          </cell>
          <cell r="E17">
            <v>30995.51</v>
          </cell>
          <cell r="F17">
            <v>163178.74</v>
          </cell>
          <cell r="G17">
            <v>458010.97</v>
          </cell>
          <cell r="H17">
            <v>759580.76</v>
          </cell>
          <cell r="I17">
            <v>1256596.23</v>
          </cell>
          <cell r="J17">
            <v>1808907.67</v>
          </cell>
          <cell r="K17">
            <v>2506667.87</v>
          </cell>
          <cell r="L17">
            <v>2692322.29</v>
          </cell>
          <cell r="M17">
            <v>2752899.17</v>
          </cell>
          <cell r="N17">
            <v>2791116.81</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2380083.76</v>
          </cell>
          <cell r="N18">
            <v>2383485.22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2580168.53</v>
          </cell>
        </row>
        <row r="20">
          <cell r="A20" t="str">
            <v>RICPRG42</v>
          </cell>
          <cell r="B20">
            <v>520712</v>
          </cell>
          <cell r="C20">
            <v>18326.93</v>
          </cell>
          <cell r="D20">
            <v>532160.34</v>
          </cell>
          <cell r="E20">
            <v>558628.85</v>
          </cell>
          <cell r="F20">
            <v>596700.51</v>
          </cell>
          <cell r="G20">
            <v>646928.98</v>
          </cell>
          <cell r="H20">
            <v>864216.9</v>
          </cell>
          <cell r="I20">
            <v>923397.61</v>
          </cell>
          <cell r="J20">
            <v>955092.41</v>
          </cell>
          <cell r="K20">
            <v>1016181.09</v>
          </cell>
          <cell r="L20">
            <v>1045432.3</v>
          </cell>
          <cell r="M20">
            <v>1093583.77</v>
          </cell>
          <cell r="N20">
            <v>1363246.96</v>
          </cell>
          <cell r="O20">
            <v>1667479.37</v>
          </cell>
        </row>
        <row r="21">
          <cell r="A21" t="str">
            <v>RDLPCS03</v>
          </cell>
          <cell r="B21">
            <v>0</v>
          </cell>
          <cell r="C21">
            <v>0</v>
          </cell>
          <cell r="D21">
            <v>47680.28</v>
          </cell>
          <cell r="E21">
            <v>134387.46</v>
          </cell>
          <cell r="F21">
            <v>300754.46</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290755.66</v>
          </cell>
          <cell r="F22">
            <v>299233.5</v>
          </cell>
          <cell r="G22">
            <v>2088480.22</v>
          </cell>
          <cell r="H22">
            <v>2102797.36</v>
          </cell>
          <cell r="I22">
            <v>2106863.29</v>
          </cell>
          <cell r="J22">
            <v>2126780.15</v>
          </cell>
          <cell r="K22">
            <v>2131373.77</v>
          </cell>
          <cell r="L22">
            <v>2137329.8</v>
          </cell>
          <cell r="M22">
            <v>1949297.2</v>
          </cell>
          <cell r="N22">
            <v>1484252.24</v>
          </cell>
          <cell r="O22">
            <v>1484252.24</v>
          </cell>
        </row>
        <row r="23">
          <cell r="A23" t="str">
            <v>RDSPRD25</v>
          </cell>
          <cell r="B23">
            <v>582091</v>
          </cell>
          <cell r="C23">
            <v>21844.18</v>
          </cell>
          <cell r="D23">
            <v>592601.37</v>
          </cell>
          <cell r="E23">
            <v>609553.55</v>
          </cell>
          <cell r="F23">
            <v>648198.03</v>
          </cell>
          <cell r="G23">
            <v>723153.8</v>
          </cell>
          <cell r="H23">
            <v>733563.36</v>
          </cell>
          <cell r="I23">
            <v>809541.31</v>
          </cell>
          <cell r="J23">
            <v>848543.08</v>
          </cell>
          <cell r="K23">
            <v>897039.9</v>
          </cell>
          <cell r="L23">
            <v>898424.43</v>
          </cell>
          <cell r="M23">
            <v>926972.7</v>
          </cell>
          <cell r="N23">
            <v>937177.66</v>
          </cell>
          <cell r="O23">
            <v>1188638.61</v>
          </cell>
        </row>
        <row r="24">
          <cell r="A24" t="str">
            <v>RDLPCM04</v>
          </cell>
          <cell r="B24">
            <v>0</v>
          </cell>
          <cell r="C24">
            <v>0</v>
          </cell>
          <cell r="D24">
            <v>32366.77</v>
          </cell>
          <cell r="E24">
            <v>49613.44</v>
          </cell>
          <cell r="F24">
            <v>58699.96</v>
          </cell>
          <cell r="G24">
            <v>113925.08</v>
          </cell>
          <cell r="H24">
            <v>593793.35</v>
          </cell>
          <cell r="I24">
            <v>615967.94</v>
          </cell>
          <cell r="J24">
            <v>582109.17</v>
          </cell>
          <cell r="K24">
            <v>776829.33</v>
          </cell>
          <cell r="L24">
            <v>898463.98</v>
          </cell>
          <cell r="M24">
            <v>1035570.13</v>
          </cell>
          <cell r="N24">
            <v>1234560.75</v>
          </cell>
          <cell r="O24">
            <v>1303731.01</v>
          </cell>
        </row>
        <row r="25">
          <cell r="A25" t="str">
            <v>ROCPOG69</v>
          </cell>
          <cell r="B25">
            <v>0</v>
          </cell>
          <cell r="C25">
            <v>0</v>
          </cell>
          <cell r="D25">
            <v>15536.45</v>
          </cell>
          <cell r="E25">
            <v>99007.01</v>
          </cell>
          <cell r="F25">
            <v>130823.4</v>
          </cell>
          <cell r="G25">
            <v>161180.19</v>
          </cell>
          <cell r="H25">
            <v>337802.52</v>
          </cell>
          <cell r="I25">
            <v>408764.44</v>
          </cell>
          <cell r="J25">
            <v>431890.08</v>
          </cell>
          <cell r="K25">
            <v>455818.3</v>
          </cell>
          <cell r="L25">
            <v>489480.84</v>
          </cell>
          <cell r="M25">
            <v>916132.84</v>
          </cell>
          <cell r="N25">
            <v>1058322.44</v>
          </cell>
          <cell r="O25">
            <v>1228624.05</v>
          </cell>
        </row>
        <row r="26">
          <cell r="A26" t="str">
            <v>RDLPPM07</v>
          </cell>
          <cell r="B26">
            <v>0</v>
          </cell>
          <cell r="C26">
            <v>0</v>
          </cell>
          <cell r="D26">
            <v>66766.15</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v>
          </cell>
          <cell r="E27">
            <v>304777.62</v>
          </cell>
          <cell r="F27">
            <v>449031.12</v>
          </cell>
          <cell r="G27">
            <v>539964.75</v>
          </cell>
          <cell r="H27">
            <v>597180.94</v>
          </cell>
          <cell r="I27">
            <v>613207.58</v>
          </cell>
          <cell r="J27">
            <v>654961.17</v>
          </cell>
          <cell r="K27">
            <v>707896.07</v>
          </cell>
          <cell r="L27">
            <v>793710.23</v>
          </cell>
          <cell r="M27">
            <v>861943.96</v>
          </cell>
          <cell r="N27">
            <v>862935.41</v>
          </cell>
          <cell r="O27">
            <v>862935.41</v>
          </cell>
        </row>
        <row r="28">
          <cell r="A28" t="str">
            <v>RICPPG51</v>
          </cell>
          <cell r="B28">
            <v>499190</v>
          </cell>
          <cell r="C28">
            <v>23019.33</v>
          </cell>
          <cell r="D28">
            <v>519189.42</v>
          </cell>
          <cell r="E28">
            <v>541576.31</v>
          </cell>
          <cell r="F28">
            <v>567571.1</v>
          </cell>
          <cell r="G28">
            <v>608885.28</v>
          </cell>
          <cell r="H28">
            <v>637789.19</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v>
          </cell>
          <cell r="K30">
            <v>36673.36</v>
          </cell>
          <cell r="L30">
            <v>36673.36</v>
          </cell>
          <cell r="M30">
            <v>37810.9</v>
          </cell>
          <cell r="N30">
            <v>76214.19</v>
          </cell>
          <cell r="O30">
            <v>697077.02</v>
          </cell>
        </row>
        <row r="31">
          <cell r="A31" t="str">
            <v>RICPOG30</v>
          </cell>
          <cell r="B31">
            <v>0</v>
          </cell>
          <cell r="C31">
            <v>0</v>
          </cell>
          <cell r="D31">
            <v>65836.64</v>
          </cell>
          <cell r="E31">
            <v>254537.69</v>
          </cell>
          <cell r="F31">
            <v>344445.14</v>
          </cell>
          <cell r="G31">
            <v>415273.35</v>
          </cell>
          <cell r="H31">
            <v>476315.35</v>
          </cell>
          <cell r="I31">
            <v>498619.99</v>
          </cell>
          <cell r="J31">
            <v>524880.83</v>
          </cell>
          <cell r="K31">
            <v>535529.37</v>
          </cell>
          <cell r="L31">
            <v>546794.64</v>
          </cell>
          <cell r="M31">
            <v>562792.63</v>
          </cell>
          <cell r="N31">
            <v>570426.45</v>
          </cell>
          <cell r="O31">
            <v>570426.45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v>
          </cell>
          <cell r="O32">
            <v>440042.87</v>
          </cell>
        </row>
        <row r="33">
          <cell r="A33" t="str">
            <v>RDSPLD62</v>
          </cell>
          <cell r="B33">
            <v>0</v>
          </cell>
          <cell r="C33">
            <v>0</v>
          </cell>
          <cell r="D33">
            <v>4858.87</v>
          </cell>
          <cell r="E33">
            <v>22186.08</v>
          </cell>
          <cell r="F33">
            <v>38409.58</v>
          </cell>
          <cell r="G33">
            <v>61332.84</v>
          </cell>
          <cell r="H33">
            <v>92273.5</v>
          </cell>
          <cell r="I33">
            <v>138717.57</v>
          </cell>
          <cell r="J33">
            <v>138926.35</v>
          </cell>
          <cell r="K33">
            <v>165849.07</v>
          </cell>
          <cell r="L33">
            <v>201280.75</v>
          </cell>
          <cell r="M33">
            <v>238941.9</v>
          </cell>
          <cell r="N33">
            <v>307418.44</v>
          </cell>
          <cell r="O33">
            <v>456798.76</v>
          </cell>
        </row>
        <row r="34">
          <cell r="A34" t="str">
            <v>RDLPLM34</v>
          </cell>
          <cell r="B34">
            <v>0</v>
          </cell>
          <cell r="C34">
            <v>0</v>
          </cell>
          <cell r="D34">
            <v>1979.03</v>
          </cell>
          <cell r="E34">
            <v>4028.18</v>
          </cell>
          <cell r="F34">
            <v>6164.48</v>
          </cell>
          <cell r="G34">
            <v>111200.74</v>
          </cell>
          <cell r="H34">
            <v>111348.52</v>
          </cell>
          <cell r="I34">
            <v>111555.26</v>
          </cell>
          <cell r="J34">
            <v>117476.15</v>
          </cell>
          <cell r="K34">
            <v>241593.12</v>
          </cell>
          <cell r="L34">
            <v>250653.38</v>
          </cell>
          <cell r="M34">
            <v>260786.13</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136809.92</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v>
          </cell>
          <cell r="O36">
            <v>273698.09</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v>
          </cell>
          <cell r="J39">
            <v>45389.65</v>
          </cell>
          <cell r="K39">
            <v>66289.65</v>
          </cell>
          <cell r="L39">
            <v>90944.2</v>
          </cell>
          <cell r="M39">
            <v>91270.08</v>
          </cell>
          <cell r="N39">
            <v>91270.08</v>
          </cell>
          <cell r="O39">
            <v>237286.34</v>
          </cell>
        </row>
        <row r="40">
          <cell r="A40" t="str">
            <v>RDLPCS94</v>
          </cell>
          <cell r="B40">
            <v>0</v>
          </cell>
          <cell r="C40">
            <v>0</v>
          </cell>
          <cell r="D40">
            <v>0</v>
          </cell>
          <cell r="E40">
            <v>0</v>
          </cell>
          <cell r="F40">
            <v>0</v>
          </cell>
          <cell r="G40">
            <v>22810.34</v>
          </cell>
          <cell r="H40">
            <v>38398.63</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v>
          </cell>
          <cell r="E50">
            <v>35780172.3</v>
          </cell>
          <cell r="F50">
            <v>53204335.84</v>
          </cell>
          <cell r="G50">
            <v>67836828.52</v>
          </cell>
          <cell r="H50">
            <v>81125317.42</v>
          </cell>
          <cell r="I50">
            <v>90615791.18</v>
          </cell>
          <cell r="J50">
            <v>101372918.61</v>
          </cell>
          <cell r="K50">
            <v>111757497.59</v>
          </cell>
          <cell r="L50">
            <v>125141802.36</v>
          </cell>
          <cell r="M50">
            <v>135711507.59</v>
          </cell>
          <cell r="N50">
            <v>142921055.79</v>
          </cell>
          <cell r="O50">
            <v>159965173.63</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v>
          </cell>
          <cell r="E68">
            <v>35780172.3</v>
          </cell>
          <cell r="F68">
            <v>53204335.84</v>
          </cell>
          <cell r="G68">
            <v>67836828.52</v>
          </cell>
          <cell r="H68">
            <v>81125317.42</v>
          </cell>
          <cell r="I68">
            <v>90615791.18</v>
          </cell>
          <cell r="J68">
            <v>101372918.61</v>
          </cell>
          <cell r="K68">
            <v>111757497.59</v>
          </cell>
          <cell r="L68">
            <v>125141802.36</v>
          </cell>
          <cell r="M68">
            <v>135711507.59</v>
          </cell>
          <cell r="N68">
            <v>142921055.79</v>
          </cell>
          <cell r="O68">
            <v>159965173.63</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v>
          </cell>
          <cell r="E70">
            <v>35780172.3</v>
          </cell>
          <cell r="F70">
            <v>53204335.84</v>
          </cell>
          <cell r="G70">
            <v>67836828.52</v>
          </cell>
          <cell r="H70">
            <v>81125317.42</v>
          </cell>
          <cell r="I70">
            <v>90615791.18</v>
          </cell>
          <cell r="J70">
            <v>101372918.61</v>
          </cell>
          <cell r="K70">
            <v>111757497.59</v>
          </cell>
          <cell r="L70">
            <v>125141802.36</v>
          </cell>
          <cell r="M70">
            <v>135711507.59</v>
          </cell>
          <cell r="N70">
            <v>142921055.79</v>
          </cell>
          <cell r="O70">
            <v>159965173.63</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33674437.83</v>
          </cell>
          <cell r="E72">
            <v>33977425.41</v>
          </cell>
          <cell r="F72">
            <v>34141550.01</v>
          </cell>
          <cell r="G72">
            <v>34479321.13</v>
          </cell>
          <cell r="H72">
            <v>34915484.69</v>
          </cell>
          <cell r="I72">
            <v>38529114.98</v>
          </cell>
          <cell r="J72">
            <v>38228438.32</v>
          </cell>
          <cell r="K72">
            <v>38300554.08</v>
          </cell>
          <cell r="L72">
            <v>38364587.72</v>
          </cell>
          <cell r="M72">
            <v>38459506.85</v>
          </cell>
          <cell r="N72">
            <v>38513563.78</v>
          </cell>
          <cell r="O72">
            <v>38712655</v>
          </cell>
        </row>
        <row r="73">
          <cell r="A73" t="str">
            <v>JOB BALANCE LESS AFUDC</v>
          </cell>
          <cell r="D73">
            <v>57216850.88</v>
          </cell>
          <cell r="E73">
            <v>69757597.71</v>
          </cell>
          <cell r="F73">
            <v>87345885.85</v>
          </cell>
          <cell r="G73">
            <v>102316149.65</v>
          </cell>
          <cell r="H73">
            <v>116040802.11</v>
          </cell>
          <cell r="I73">
            <v>129144906.16</v>
          </cell>
          <cell r="J73">
            <v>139601356.93</v>
          </cell>
          <cell r="K73">
            <v>150058051.67</v>
          </cell>
          <cell r="L73">
            <v>163506390.08</v>
          </cell>
          <cell r="M73">
            <v>174171014.44</v>
          </cell>
          <cell r="N73">
            <v>181435328.57</v>
          </cell>
          <cell r="O73">
            <v>198677828.63</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v>
          </cell>
          <cell r="F16">
            <v>169931640.977671</v>
          </cell>
        </row>
        <row r="17">
          <cell r="A17">
            <v>37834</v>
          </cell>
          <cell r="B17">
            <v>169931640.977671</v>
          </cell>
          <cell r="C17">
            <v>3955157.46472713</v>
          </cell>
          <cell r="D17">
            <v>770356.77243211</v>
          </cell>
          <cell r="E17">
            <v>3184800.69229502</v>
          </cell>
          <cell r="F17">
            <v>166746840.285376</v>
          </cell>
        </row>
        <row r="18">
          <cell r="A18">
            <v>37865</v>
          </cell>
          <cell r="B18">
            <v>166746840.285376</v>
          </cell>
          <cell r="C18">
            <v>3955157.46472713</v>
          </cell>
          <cell r="D18">
            <v>763137.890862908</v>
          </cell>
          <cell r="E18">
            <v>3192019.57386422</v>
          </cell>
          <cell r="F18">
            <v>163554820.711512</v>
          </cell>
        </row>
        <row r="19">
          <cell r="A19">
            <v>37895</v>
          </cell>
          <cell r="B19">
            <v>163554820.711512</v>
          </cell>
          <cell r="C19">
            <v>3955157.46472713</v>
          </cell>
          <cell r="D19">
            <v>748683.76492628</v>
          </cell>
          <cell r="E19">
            <v>3206473.69980085</v>
          </cell>
          <cell r="F19">
            <v>160348347.011711</v>
          </cell>
        </row>
        <row r="20">
          <cell r="A20">
            <v>37926</v>
          </cell>
          <cell r="B20">
            <v>160348347.011711</v>
          </cell>
          <cell r="C20">
            <v>3955157.46472713</v>
          </cell>
          <cell r="D20">
            <v>734180.513505973</v>
          </cell>
          <cell r="E20">
            <v>3220976.95122115</v>
          </cell>
          <cell r="F20">
            <v>157127370.06049</v>
          </cell>
        </row>
        <row r="21">
          <cell r="A21">
            <v>37956</v>
          </cell>
          <cell r="B21">
            <v>157127370.06049</v>
          </cell>
          <cell r="C21">
            <v>3955157.46472713</v>
          </cell>
          <cell r="D21">
            <v>719611.625363656</v>
          </cell>
          <cell r="E21">
            <v>3235545.83936347</v>
          </cell>
          <cell r="F21">
            <v>153891824.221127</v>
          </cell>
        </row>
        <row r="22">
          <cell r="A22">
            <v>37987</v>
          </cell>
          <cell r="B22">
            <v>153891824.221127</v>
          </cell>
          <cell r="C22">
            <v>3955157.46472713</v>
          </cell>
          <cell r="D22">
            <v>704976.840371664</v>
          </cell>
          <cell r="E22">
            <v>3250180.62435546</v>
          </cell>
          <cell r="F22">
            <v>150641643.596771</v>
          </cell>
        </row>
        <row r="23">
          <cell r="A23">
            <v>38018</v>
          </cell>
          <cell r="B23">
            <v>150641643.596771</v>
          </cell>
          <cell r="C23">
            <v>3955157.46472713</v>
          </cell>
          <cell r="D23">
            <v>690275.860387235</v>
          </cell>
          <cell r="E23">
            <v>3264881.60433989</v>
          </cell>
          <cell r="F23">
            <v>147376761.992431</v>
          </cell>
        </row>
        <row r="24">
          <cell r="A24">
            <v>38047</v>
          </cell>
          <cell r="B24">
            <v>147376761.992431</v>
          </cell>
          <cell r="C24">
            <v>3955157.46472713</v>
          </cell>
          <cell r="D24">
            <v>675508.386002192</v>
          </cell>
          <cell r="E24">
            <v>3279649.07872493</v>
          </cell>
          <cell r="F24">
            <v>144097112.913706</v>
          </cell>
        </row>
        <row r="25">
          <cell r="A25">
            <v>38078</v>
          </cell>
          <cell r="B25">
            <v>144097112.913706</v>
          </cell>
          <cell r="C25">
            <v>3955157.46472713</v>
          </cell>
          <cell r="D25">
            <v>660674.116453912</v>
          </cell>
          <cell r="E25">
            <v>3294483.34827321</v>
          </cell>
          <cell r="F25">
            <v>140802629.565433</v>
          </cell>
        </row>
        <row r="26">
          <cell r="A26">
            <v>38108</v>
          </cell>
          <cell r="B26">
            <v>140802629.565433</v>
          </cell>
          <cell r="C26">
            <v>3955157.46472713</v>
          </cell>
          <cell r="D26">
            <v>645772.749619382</v>
          </cell>
          <cell r="E26">
            <v>3309384.71510774</v>
          </cell>
          <cell r="F26">
            <v>137493244.850325</v>
          </cell>
        </row>
        <row r="27">
          <cell r="A27">
            <v>38139</v>
          </cell>
          <cell r="B27">
            <v>137493244.850325</v>
          </cell>
          <cell r="C27">
            <v>3955157.46472713</v>
          </cell>
          <cell r="D27">
            <v>630803.982009052</v>
          </cell>
          <cell r="E27">
            <v>3324353.48271807</v>
          </cell>
          <cell r="F27">
            <v>134168891.367607</v>
          </cell>
        </row>
        <row r="28">
          <cell r="A28">
            <v>38169</v>
          </cell>
          <cell r="B28">
            <v>134168891.367607</v>
          </cell>
          <cell r="C28">
            <v>3955157.46472713</v>
          </cell>
          <cell r="D28">
            <v>615767.508760647</v>
          </cell>
          <cell r="E28">
            <v>3339389.95596648</v>
          </cell>
          <cell r="F28">
            <v>130829501.411641</v>
          </cell>
        </row>
        <row r="29">
          <cell r="A29">
            <v>38200</v>
          </cell>
          <cell r="B29">
            <v>130829501.411641</v>
          </cell>
          <cell r="C29">
            <v>3955157.46472713</v>
          </cell>
          <cell r="D29">
            <v>600663.023632962</v>
          </cell>
          <cell r="E29">
            <v>3354494.44109416</v>
          </cell>
          <cell r="F29">
            <v>127475006.970547</v>
          </cell>
        </row>
        <row r="30">
          <cell r="A30">
            <v>38231</v>
          </cell>
          <cell r="B30">
            <v>127475006.970547</v>
          </cell>
          <cell r="C30">
            <v>3955157.46472713</v>
          </cell>
          <cell r="D30">
            <v>585490.218999625</v>
          </cell>
          <cell r="E30">
            <v>3369667.2457275</v>
          </cell>
          <cell r="F30">
            <v>124105339.724819</v>
          </cell>
        </row>
        <row r="31">
          <cell r="A31">
            <v>38261</v>
          </cell>
          <cell r="B31">
            <v>124105339.724819</v>
          </cell>
          <cell r="C31">
            <v>3955157.46472713</v>
          </cell>
          <cell r="D31">
            <v>570248.785842829</v>
          </cell>
          <cell r="E31">
            <v>3384908.6788843</v>
          </cell>
          <cell r="F31">
            <v>120720431.045935</v>
          </cell>
        </row>
        <row r="32">
          <cell r="A32">
            <v>38292</v>
          </cell>
          <cell r="B32">
            <v>120720431.045935</v>
          </cell>
          <cell r="C32">
            <v>3955157.46472713</v>
          </cell>
          <cell r="D32">
            <v>554938.413747042</v>
          </cell>
          <cell r="E32">
            <v>3400219.05098008</v>
          </cell>
          <cell r="F32">
            <v>117320211.994955</v>
          </cell>
        </row>
        <row r="33">
          <cell r="A33">
            <v>38322</v>
          </cell>
          <cell r="B33">
            <v>117320211.994955</v>
          </cell>
          <cell r="C33">
            <v>3955157.46472713</v>
          </cell>
          <cell r="D33">
            <v>539558.790892683</v>
          </cell>
          <cell r="E33">
            <v>3415598.67383444</v>
          </cell>
          <cell r="F33">
            <v>113904613.32112</v>
          </cell>
        </row>
        <row r="34">
          <cell r="A34">
            <v>38353</v>
          </cell>
          <cell r="B34">
            <v>113904613.32112</v>
          </cell>
          <cell r="C34">
            <v>3955157.46472713</v>
          </cell>
          <cell r="D34">
            <v>524109.60404977</v>
          </cell>
          <cell r="E34">
            <v>3431047.86067736</v>
          </cell>
          <cell r="F34">
            <v>110473565.460443</v>
          </cell>
        </row>
        <row r="35">
          <cell r="A35">
            <v>38384</v>
          </cell>
          <cell r="B35">
            <v>110473565.460443</v>
          </cell>
          <cell r="C35">
            <v>3955157.46472713</v>
          </cell>
          <cell r="D35">
            <v>508590.538571543</v>
          </cell>
          <cell r="E35">
            <v>3446566.92615558</v>
          </cell>
          <cell r="F35">
            <v>107026998.534287</v>
          </cell>
        </row>
        <row r="36">
          <cell r="A36">
            <v>38412</v>
          </cell>
          <cell r="B36">
            <v>107026998.534287</v>
          </cell>
          <cell r="C36">
            <v>3955157.46472713</v>
          </cell>
          <cell r="D36">
            <v>493001.278388055</v>
          </cell>
          <cell r="E36">
            <v>3462156.18633907</v>
          </cell>
          <cell r="F36">
            <v>103564842.347948</v>
          </cell>
        </row>
        <row r="37">
          <cell r="A37">
            <v>38443</v>
          </cell>
          <cell r="B37">
            <v>103564842.347948</v>
          </cell>
          <cell r="C37">
            <v>3955157.46472713</v>
          </cell>
          <cell r="D37">
            <v>477341.505999734</v>
          </cell>
          <cell r="E37">
            <v>3477815.95872739</v>
          </cell>
          <cell r="F37">
            <v>100087026.389221</v>
          </cell>
        </row>
        <row r="38">
          <cell r="A38">
            <v>38473</v>
          </cell>
          <cell r="B38">
            <v>100087026.389221</v>
          </cell>
          <cell r="C38">
            <v>3955157.46472713</v>
          </cell>
          <cell r="D38">
            <v>461610.902470917</v>
          </cell>
          <cell r="E38">
            <v>3493546.56225621</v>
          </cell>
          <cell r="F38">
            <v>96593479.8269646</v>
          </cell>
        </row>
        <row r="39">
          <cell r="A39">
            <v>38504</v>
          </cell>
          <cell r="B39">
            <v>96593479.8269646</v>
          </cell>
          <cell r="C39">
            <v>3955157.46472713</v>
          </cell>
          <cell r="D39">
            <v>445809.147423354</v>
          </cell>
          <cell r="E39">
            <v>3509348.31730377</v>
          </cell>
          <cell r="F39">
            <v>93084131.5096609</v>
          </cell>
        </row>
        <row r="40">
          <cell r="A40">
            <v>38534</v>
          </cell>
          <cell r="B40">
            <v>93084131.5096609</v>
          </cell>
          <cell r="C40">
            <v>3955157.46472713</v>
          </cell>
          <cell r="D40">
            <v>429935.919029684</v>
          </cell>
          <cell r="E40">
            <v>3525221.54569744</v>
          </cell>
          <cell r="F40">
            <v>89558909.9639634</v>
          </cell>
        </row>
        <row r="41">
          <cell r="A41">
            <v>38565</v>
          </cell>
          <cell r="B41">
            <v>89558909.9639634</v>
          </cell>
          <cell r="C41">
            <v>3955157.46472713</v>
          </cell>
          <cell r="D41">
            <v>413990.894006882</v>
          </cell>
          <cell r="E41">
            <v>3541166.57072024</v>
          </cell>
          <cell r="F41">
            <v>86017743.3932432</v>
          </cell>
        </row>
        <row r="42">
          <cell r="A42">
            <v>38596</v>
          </cell>
          <cell r="B42">
            <v>86017743.3932432</v>
          </cell>
          <cell r="C42">
            <v>3955157.46472713</v>
          </cell>
          <cell r="D42">
            <v>397973.747609668</v>
          </cell>
          <cell r="E42">
            <v>3557183.71711746</v>
          </cell>
          <cell r="F42">
            <v>82460559.6761257</v>
          </cell>
        </row>
        <row r="43">
          <cell r="A43">
            <v>38626</v>
          </cell>
          <cell r="B43">
            <v>82460559.6761257</v>
          </cell>
          <cell r="C43">
            <v>3955157.46472713</v>
          </cell>
          <cell r="D43">
            <v>381884.153623903</v>
          </cell>
          <cell r="E43">
            <v>3573273.31110322</v>
          </cell>
          <cell r="F43">
            <v>78887286.3650225</v>
          </cell>
        </row>
        <row r="44">
          <cell r="A44">
            <v>38657</v>
          </cell>
          <cell r="B44">
            <v>78887286.3650225</v>
          </cell>
          <cell r="C44">
            <v>3955157.46472713</v>
          </cell>
          <cell r="D44">
            <v>365721.784359936</v>
          </cell>
          <cell r="E44">
            <v>3589435.68036719</v>
          </cell>
          <cell r="F44">
            <v>75297850.6846553</v>
          </cell>
        </row>
        <row r="45">
          <cell r="A45">
            <v>38687</v>
          </cell>
          <cell r="B45">
            <v>75297850.6846553</v>
          </cell>
          <cell r="C45">
            <v>3955157.46472713</v>
          </cell>
          <cell r="D45">
            <v>349486.310645936</v>
          </cell>
          <cell r="E45">
            <v>3605671.15408119</v>
          </cell>
          <cell r="F45">
            <v>71692179.5305741</v>
          </cell>
        </row>
        <row r="46">
          <cell r="A46">
            <v>38718</v>
          </cell>
          <cell r="B46">
            <v>71692179.5305741</v>
          </cell>
          <cell r="C46">
            <v>3955157.46472713</v>
          </cell>
          <cell r="D46">
            <v>333177.401821187</v>
          </cell>
          <cell r="E46">
            <v>3621980.06290594</v>
          </cell>
          <cell r="F46">
            <v>68070199.4676682</v>
          </cell>
        </row>
        <row r="47">
          <cell r="A47">
            <v>38749</v>
          </cell>
          <cell r="B47">
            <v>68070199.4676682</v>
          </cell>
          <cell r="C47">
            <v>3955157.46472713</v>
          </cell>
          <cell r="D47">
            <v>316794.725729349</v>
          </cell>
          <cell r="E47">
            <v>3638362.73899778</v>
          </cell>
          <cell r="F47">
            <v>64431836.7286704</v>
          </cell>
        </row>
        <row r="48">
          <cell r="A48">
            <v>38777</v>
          </cell>
          <cell r="B48">
            <v>64431836.7286704</v>
          </cell>
          <cell r="C48">
            <v>3955157.46472713</v>
          </cell>
          <cell r="D48">
            <v>300337.948711701</v>
          </cell>
          <cell r="E48">
            <v>3654819.51601543</v>
          </cell>
          <cell r="F48">
            <v>60777017.212655</v>
          </cell>
        </row>
        <row r="49">
          <cell r="A49">
            <v>38808</v>
          </cell>
          <cell r="B49">
            <v>60777017.212655</v>
          </cell>
          <cell r="C49">
            <v>3955157.46472713</v>
          </cell>
          <cell r="D49">
            <v>283806.735600338</v>
          </cell>
          <cell r="E49">
            <v>3671350.72912679</v>
          </cell>
          <cell r="F49">
            <v>57105666.4835282</v>
          </cell>
        </row>
        <row r="50">
          <cell r="A50">
            <v>38838</v>
          </cell>
          <cell r="B50">
            <v>57105666.4835282</v>
          </cell>
          <cell r="C50">
            <v>3955157.46472713</v>
          </cell>
          <cell r="D50">
            <v>267200.749711349</v>
          </cell>
          <cell r="E50">
            <v>3687956.71501578</v>
          </cell>
          <cell r="F50">
            <v>53417709.7685124</v>
          </cell>
        </row>
        <row r="51">
          <cell r="A51">
            <v>38869</v>
          </cell>
          <cell r="B51">
            <v>53417709.7685124</v>
          </cell>
          <cell r="C51">
            <v>3955157.46472713</v>
          </cell>
          <cell r="D51">
            <v>250519.652837959</v>
          </cell>
          <cell r="E51">
            <v>3704637.81188917</v>
          </cell>
          <cell r="F51">
            <v>49713071.9566233</v>
          </cell>
        </row>
        <row r="52">
          <cell r="A52">
            <v>38899</v>
          </cell>
          <cell r="B52">
            <v>49713071.9566233</v>
          </cell>
          <cell r="C52">
            <v>3955157.46472713</v>
          </cell>
          <cell r="D52">
            <v>233763.105243641</v>
          </cell>
          <cell r="E52">
            <v>3721394.35948349</v>
          </cell>
          <cell r="F52">
            <v>45991677.5971398</v>
          </cell>
        </row>
        <row r="53">
          <cell r="A53">
            <v>38930</v>
          </cell>
          <cell r="B53">
            <v>45991677.5971398</v>
          </cell>
          <cell r="C53">
            <v>3955157.46472713</v>
          </cell>
          <cell r="D53">
            <v>216930.765655196</v>
          </cell>
          <cell r="E53">
            <v>3738226.69907193</v>
          </cell>
          <cell r="F53">
            <v>42253450.8980678</v>
          </cell>
        </row>
        <row r="54">
          <cell r="A54">
            <v>38961</v>
          </cell>
          <cell r="B54">
            <v>42253450.8980678</v>
          </cell>
          <cell r="C54">
            <v>3955157.46472713</v>
          </cell>
          <cell r="D54">
            <v>200022.291255804</v>
          </cell>
          <cell r="E54">
            <v>3755135.17347132</v>
          </cell>
          <cell r="F54">
            <v>38498315.7245965</v>
          </cell>
        </row>
        <row r="55">
          <cell r="A55">
            <v>38991</v>
          </cell>
          <cell r="B55">
            <v>38498315.7245965</v>
          </cell>
          <cell r="C55">
            <v>3955157.46472713</v>
          </cell>
          <cell r="D55">
            <v>183037.337678039</v>
          </cell>
          <cell r="E55">
            <v>3772120.12704909</v>
          </cell>
          <cell r="F55">
            <v>34726195.5975474</v>
          </cell>
        </row>
        <row r="56">
          <cell r="A56">
            <v>39022</v>
          </cell>
          <cell r="B56">
            <v>34726195.5975474</v>
          </cell>
          <cell r="C56">
            <v>3955157.46472713</v>
          </cell>
          <cell r="D56">
            <v>165975.55899686</v>
          </cell>
          <cell r="E56">
            <v>3789181.90573027</v>
          </cell>
          <cell r="F56">
            <v>30937013.6918172</v>
          </cell>
        </row>
        <row r="57">
          <cell r="A57">
            <v>39052</v>
          </cell>
          <cell r="B57">
            <v>30937013.6918172</v>
          </cell>
          <cell r="C57">
            <v>3955157.46472713</v>
          </cell>
          <cell r="D57">
            <v>148836.60772256</v>
          </cell>
          <cell r="E57">
            <v>3806320.85700457</v>
          </cell>
          <cell r="F57">
            <v>27130692.8348126</v>
          </cell>
        </row>
        <row r="58">
          <cell r="A58">
            <v>39083</v>
          </cell>
          <cell r="B58">
            <v>27130692.8348126</v>
          </cell>
          <cell r="C58">
            <v>3955157.46472713</v>
          </cell>
          <cell r="D58">
            <v>131620.134793694</v>
          </cell>
          <cell r="E58">
            <v>3823537.32993343</v>
          </cell>
          <cell r="F58">
            <v>23307155.5048792</v>
          </cell>
        </row>
        <row r="59">
          <cell r="A59">
            <v>39114</v>
          </cell>
          <cell r="B59">
            <v>23307155.5048792</v>
          </cell>
          <cell r="C59">
            <v>3955157.46472713</v>
          </cell>
          <cell r="D59">
            <v>114325.789569968</v>
          </cell>
          <cell r="E59">
            <v>3840831.67515716</v>
          </cell>
          <cell r="F59">
            <v>19466323.829722</v>
          </cell>
        </row>
        <row r="60">
          <cell r="A60">
            <v>39142</v>
          </cell>
          <cell r="B60">
            <v>19466323.829722</v>
          </cell>
          <cell r="C60">
            <v>3955157.46472713</v>
          </cell>
          <cell r="D60">
            <v>96953.219825096</v>
          </cell>
          <cell r="E60">
            <v>3858204.24490203</v>
          </cell>
          <cell r="F60">
            <v>15608119.58482</v>
          </cell>
        </row>
        <row r="61">
          <cell r="A61">
            <v>39173</v>
          </cell>
          <cell r="B61">
            <v>15608119.58482</v>
          </cell>
          <cell r="C61">
            <v>3955157.46472713</v>
          </cell>
          <cell r="D61">
            <v>79502.0717396285</v>
          </cell>
          <cell r="E61">
            <v>3875655.3929875</v>
          </cell>
          <cell r="F61">
            <v>11732464.1918325</v>
          </cell>
        </row>
        <row r="62">
          <cell r="A62">
            <v>39203</v>
          </cell>
          <cell r="B62">
            <v>11732464.1918325</v>
          </cell>
          <cell r="C62">
            <v>3955157.46472713</v>
          </cell>
          <cell r="D62">
            <v>61971.9898937455</v>
          </cell>
          <cell r="E62">
            <v>3893185.47483338</v>
          </cell>
          <cell r="F62">
            <v>7839278.71699909</v>
          </cell>
        </row>
        <row r="63">
          <cell r="A63">
            <v>39234</v>
          </cell>
          <cell r="B63">
            <v>7839278.71699909</v>
          </cell>
          <cell r="C63">
            <v>3955157.46472713</v>
          </cell>
          <cell r="D63">
            <v>44362.6172600182</v>
          </cell>
          <cell r="E63">
            <v>3910794.84746711</v>
          </cell>
          <cell r="F63">
            <v>3928483.86953199</v>
          </cell>
        </row>
        <row r="64">
          <cell r="A64">
            <v>39264</v>
          </cell>
          <cell r="B64">
            <v>3928483.86953199</v>
          </cell>
          <cell r="C64">
            <v>3955157.46472713</v>
          </cell>
          <cell r="D64">
            <v>26673.5951961371</v>
          </cell>
          <cell r="E64">
            <v>3928483.86953099</v>
          </cell>
          <cell r="F64">
            <v>9.97446477413177E-07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14756374.1881588</v>
          </cell>
          <cell r="F34">
            <v>14756374.1881588</v>
          </cell>
        </row>
        <row r="35">
          <cell r="A35">
            <v>37834</v>
          </cell>
          <cell r="B35">
            <v>14756374.1881588</v>
          </cell>
          <cell r="C35">
            <v>343454.48079487</v>
          </cell>
          <cell r="D35">
            <v>66895.5629863198</v>
          </cell>
          <cell r="E35">
            <v>276558.91780855</v>
          </cell>
          <cell r="F35">
            <v>14479815.2703502</v>
          </cell>
        </row>
        <row r="36">
          <cell r="A36">
            <v>37865</v>
          </cell>
          <cell r="B36">
            <v>14479815.2703502</v>
          </cell>
          <cell r="C36">
            <v>343454.48079487</v>
          </cell>
          <cell r="D36">
            <v>66268.6961059537</v>
          </cell>
          <cell r="E36">
            <v>277185.784688916</v>
          </cell>
          <cell r="F36">
            <v>14202629.4856613</v>
          </cell>
        </row>
        <row r="37">
          <cell r="A37">
            <v>37895</v>
          </cell>
          <cell r="B37">
            <v>14202629.4856613</v>
          </cell>
          <cell r="C37">
            <v>343454.48079487</v>
          </cell>
          <cell r="D37">
            <v>65013.5414469595</v>
          </cell>
          <cell r="E37">
            <v>278440.93934791</v>
          </cell>
          <cell r="F37">
            <v>13924188.5463134</v>
          </cell>
        </row>
        <row r="38">
          <cell r="A38">
            <v>37926</v>
          </cell>
          <cell r="B38">
            <v>13924188.5463134</v>
          </cell>
          <cell r="C38">
            <v>343454.48079487</v>
          </cell>
          <cell r="D38">
            <v>63754.120872476</v>
          </cell>
          <cell r="E38">
            <v>279700.359922394</v>
          </cell>
          <cell r="F38">
            <v>13644488.186391</v>
          </cell>
        </row>
        <row r="39">
          <cell r="A39">
            <v>37956</v>
          </cell>
          <cell r="B39">
            <v>13644488.186391</v>
          </cell>
          <cell r="C39">
            <v>343454.48079487</v>
          </cell>
          <cell r="D39">
            <v>62489.00059413</v>
          </cell>
          <cell r="E39">
            <v>280965.48020074</v>
          </cell>
          <cell r="F39">
            <v>13363522.7061903</v>
          </cell>
        </row>
        <row r="40">
          <cell r="A40">
            <v>37987</v>
          </cell>
          <cell r="B40">
            <v>13363522.7061903</v>
          </cell>
          <cell r="C40">
            <v>343454.48079487</v>
          </cell>
          <cell r="D40">
            <v>61218.1580231842</v>
          </cell>
          <cell r="E40">
            <v>282236.322771686</v>
          </cell>
          <cell r="F40">
            <v>13081286.3834186</v>
          </cell>
        </row>
        <row r="41">
          <cell r="A41">
            <v>38018</v>
          </cell>
          <cell r="B41">
            <v>13081286.3834186</v>
          </cell>
          <cell r="C41">
            <v>343454.48079487</v>
          </cell>
          <cell r="D41">
            <v>59941.5672697801</v>
          </cell>
          <cell r="E41">
            <v>283512.91352509</v>
          </cell>
          <cell r="F41">
            <v>12797773.4698935</v>
          </cell>
        </row>
        <row r="42">
          <cell r="A42">
            <v>38047</v>
          </cell>
          <cell r="B42">
            <v>12797773.4698935</v>
          </cell>
          <cell r="C42">
            <v>343454.48079487</v>
          </cell>
          <cell r="D42">
            <v>58659.202334174</v>
          </cell>
          <cell r="E42">
            <v>284795.278460696</v>
          </cell>
          <cell r="F42">
            <v>12512978.1914328</v>
          </cell>
        </row>
        <row r="43">
          <cell r="A43">
            <v>38078</v>
          </cell>
          <cell r="B43">
            <v>12512978.1914328</v>
          </cell>
          <cell r="C43">
            <v>343454.48079487</v>
          </cell>
          <cell r="D43">
            <v>57371.0370990063</v>
          </cell>
          <cell r="E43">
            <v>286083.443695864</v>
          </cell>
          <cell r="F43">
            <v>12226894.7477369</v>
          </cell>
        </row>
        <row r="44">
          <cell r="A44">
            <v>38108</v>
          </cell>
          <cell r="B44">
            <v>12226894.7477369</v>
          </cell>
          <cell r="C44">
            <v>343454.48079487</v>
          </cell>
          <cell r="D44">
            <v>56077.0453287847</v>
          </cell>
          <cell r="E44">
            <v>287377.435466085</v>
          </cell>
          <cell r="F44">
            <v>11939517.3122708</v>
          </cell>
        </row>
        <row r="45">
          <cell r="A45">
            <v>38139</v>
          </cell>
          <cell r="B45">
            <v>11939517.3122708</v>
          </cell>
          <cell r="C45">
            <v>343454.48079487</v>
          </cell>
          <cell r="D45">
            <v>54777.200669351</v>
          </cell>
          <cell r="E45">
            <v>288677.280125519</v>
          </cell>
          <cell r="F45">
            <v>11650840.0321453</v>
          </cell>
        </row>
        <row r="46">
          <cell r="A46">
            <v>38169</v>
          </cell>
          <cell r="B46">
            <v>11650840.0321453</v>
          </cell>
          <cell r="C46">
            <v>343454.48079487</v>
          </cell>
          <cell r="D46">
            <v>53471.4766473433</v>
          </cell>
          <cell r="E46">
            <v>289983.004147527</v>
          </cell>
          <cell r="F46">
            <v>11360857.0279978</v>
          </cell>
        </row>
        <row r="47">
          <cell r="A47">
            <v>38200</v>
          </cell>
          <cell r="B47">
            <v>11360857.0279978</v>
          </cell>
          <cell r="C47">
            <v>343454.48079487</v>
          </cell>
          <cell r="D47">
            <v>52159.8466696578</v>
          </cell>
          <cell r="E47">
            <v>291294.634125212</v>
          </cell>
          <cell r="F47">
            <v>11069562.3938726</v>
          </cell>
        </row>
        <row r="48">
          <cell r="A48">
            <v>38231</v>
          </cell>
          <cell r="B48">
            <v>11069562.3938726</v>
          </cell>
          <cell r="C48">
            <v>343454.48079487</v>
          </cell>
          <cell r="D48">
            <v>50842.2840229062</v>
          </cell>
          <cell r="E48">
            <v>292612.196771964</v>
          </cell>
          <cell r="F48">
            <v>10776950.1971006</v>
          </cell>
        </row>
        <row r="49">
          <cell r="A49">
            <v>38261</v>
          </cell>
          <cell r="B49">
            <v>10776950.1971006</v>
          </cell>
          <cell r="C49">
            <v>343454.48079487</v>
          </cell>
          <cell r="D49">
            <v>49518.7618728726</v>
          </cell>
          <cell r="E49">
            <v>293935.718921997</v>
          </cell>
          <cell r="F49">
            <v>10483014.4781786</v>
          </cell>
        </row>
        <row r="50">
          <cell r="A50">
            <v>38292</v>
          </cell>
          <cell r="B50">
            <v>10483014.4781786</v>
          </cell>
          <cell r="C50">
            <v>343454.48079487</v>
          </cell>
          <cell r="D50">
            <v>48189.2532639663</v>
          </cell>
          <cell r="E50">
            <v>295265.227530904</v>
          </cell>
          <cell r="F50">
            <v>10187749.2506477</v>
          </cell>
        </row>
        <row r="51">
          <cell r="A51">
            <v>38322</v>
          </cell>
          <cell r="B51">
            <v>10187749.2506477</v>
          </cell>
          <cell r="C51">
            <v>343454.48079487</v>
          </cell>
          <cell r="D51">
            <v>46853.7311186731</v>
          </cell>
          <cell r="E51">
            <v>296600.749676197</v>
          </cell>
          <cell r="F51">
            <v>9891148.50097153</v>
          </cell>
        </row>
        <row r="52">
          <cell r="A52">
            <v>38353</v>
          </cell>
          <cell r="B52">
            <v>9891148.50097153</v>
          </cell>
          <cell r="C52">
            <v>343454.48079487</v>
          </cell>
          <cell r="D52">
            <v>45512.1682370036</v>
          </cell>
          <cell r="E52">
            <v>297942.312557866</v>
          </cell>
          <cell r="F52">
            <v>9593206.18841366</v>
          </cell>
        </row>
        <row r="53">
          <cell r="A53">
            <v>38384</v>
          </cell>
          <cell r="B53">
            <v>9593206.18841366</v>
          </cell>
          <cell r="C53">
            <v>343454.48079487</v>
          </cell>
          <cell r="D53">
            <v>44164.5372959398</v>
          </cell>
          <cell r="E53">
            <v>299289.94349893</v>
          </cell>
          <cell r="F53">
            <v>9293916.24491473</v>
          </cell>
        </row>
        <row r="54">
          <cell r="A54">
            <v>38412</v>
          </cell>
          <cell r="B54">
            <v>9293916.24491473</v>
          </cell>
          <cell r="C54">
            <v>343454.48079487</v>
          </cell>
          <cell r="D54">
            <v>42810.8108488777</v>
          </cell>
          <cell r="E54">
            <v>300643.669945992</v>
          </cell>
          <cell r="F54">
            <v>8993272.57496874</v>
          </cell>
        </row>
        <row r="55">
          <cell r="A55">
            <v>38443</v>
          </cell>
          <cell r="B55">
            <v>8993272.57496874</v>
          </cell>
          <cell r="C55">
            <v>343454.48079487</v>
          </cell>
          <cell r="D55">
            <v>41450.9613250692</v>
          </cell>
          <cell r="E55">
            <v>302003.519469801</v>
          </cell>
          <cell r="F55">
            <v>8691269.05549894</v>
          </cell>
        </row>
        <row r="56">
          <cell r="A56">
            <v>38473</v>
          </cell>
          <cell r="B56">
            <v>8691269.05549894</v>
          </cell>
          <cell r="C56">
            <v>343454.48079487</v>
          </cell>
          <cell r="D56">
            <v>40084.9610290601</v>
          </cell>
          <cell r="E56">
            <v>303369.51976581</v>
          </cell>
          <cell r="F56">
            <v>8387899.53573313</v>
          </cell>
        </row>
        <row r="57">
          <cell r="A57">
            <v>38504</v>
          </cell>
          <cell r="B57">
            <v>8387899.53573313</v>
          </cell>
          <cell r="C57">
            <v>343454.48079487</v>
          </cell>
          <cell r="D57">
            <v>38712.782140126</v>
          </cell>
          <cell r="E57">
            <v>304741.698654744</v>
          </cell>
          <cell r="F57">
            <v>8083157.83707839</v>
          </cell>
        </row>
        <row r="58">
          <cell r="A58">
            <v>38534</v>
          </cell>
          <cell r="B58">
            <v>8083157.83707839</v>
          </cell>
          <cell r="C58">
            <v>343454.48079487</v>
          </cell>
          <cell r="D58">
            <v>37334.3967117061</v>
          </cell>
          <cell r="E58">
            <v>306120.084083164</v>
          </cell>
          <cell r="F58">
            <v>7777037.75299522</v>
          </cell>
        </row>
        <row r="59">
          <cell r="A59">
            <v>38565</v>
          </cell>
          <cell r="B59">
            <v>7777037.75299522</v>
          </cell>
          <cell r="C59">
            <v>343454.48079487</v>
          </cell>
          <cell r="D59">
            <v>35949.7766708335</v>
          </cell>
          <cell r="E59">
            <v>307504.704124036</v>
          </cell>
          <cell r="F59">
            <v>7469533.04887118</v>
          </cell>
        </row>
        <row r="60">
          <cell r="A60">
            <v>38596</v>
          </cell>
          <cell r="B60">
            <v>7469533.04887118</v>
          </cell>
          <cell r="C60">
            <v>343454.48079487</v>
          </cell>
          <cell r="D60">
            <v>34558.8938175638</v>
          </cell>
          <cell r="E60">
            <v>308895.586977306</v>
          </cell>
          <cell r="F60">
            <v>7160637.46189388</v>
          </cell>
        </row>
        <row r="61">
          <cell r="A61">
            <v>38626</v>
          </cell>
          <cell r="B61">
            <v>7160637.46189388</v>
          </cell>
          <cell r="C61">
            <v>343454.48079487</v>
          </cell>
          <cell r="D61">
            <v>33161.7198244008</v>
          </cell>
          <cell r="E61">
            <v>310292.760970469</v>
          </cell>
          <cell r="F61">
            <v>6850344.70092341</v>
          </cell>
        </row>
        <row r="62">
          <cell r="A62">
            <v>38657</v>
          </cell>
          <cell r="B62">
            <v>6850344.70092341</v>
          </cell>
          <cell r="C62">
            <v>343454.48079487</v>
          </cell>
          <cell r="D62">
            <v>31758.2262357192</v>
          </cell>
          <cell r="E62">
            <v>311696.254559151</v>
          </cell>
          <cell r="F62">
            <v>6538648.44636426</v>
          </cell>
        </row>
        <row r="63">
          <cell r="A63">
            <v>38687</v>
          </cell>
          <cell r="B63">
            <v>6538648.44636426</v>
          </cell>
          <cell r="C63">
            <v>343454.48079487</v>
          </cell>
          <cell r="D63">
            <v>30348.3844671854</v>
          </cell>
          <cell r="E63">
            <v>313106.096327685</v>
          </cell>
          <cell r="F63">
            <v>6225542.35003657</v>
          </cell>
        </row>
        <row r="64">
          <cell r="A64">
            <v>38718</v>
          </cell>
          <cell r="B64">
            <v>6225542.35003657</v>
          </cell>
          <cell r="C64">
            <v>343454.48079487</v>
          </cell>
          <cell r="D64">
            <v>28932.1658051752</v>
          </cell>
          <cell r="E64">
            <v>314522.314989695</v>
          </cell>
          <cell r="F64">
            <v>5911020.03504688</v>
          </cell>
        </row>
        <row r="65">
          <cell r="A65">
            <v>38749</v>
          </cell>
          <cell r="B65">
            <v>5911020.03504688</v>
          </cell>
          <cell r="C65">
            <v>343454.48079487</v>
          </cell>
          <cell r="D65">
            <v>27509.5414061892</v>
          </cell>
          <cell r="E65">
            <v>315944.939388681</v>
          </cell>
          <cell r="F65">
            <v>5595075.0956582</v>
          </cell>
        </row>
        <row r="66">
          <cell r="A66">
            <v>38777</v>
          </cell>
          <cell r="B66">
            <v>5595075.0956582</v>
          </cell>
          <cell r="C66">
            <v>343454.48079487</v>
          </cell>
          <cell r="D66">
            <v>26080.4822962648</v>
          </cell>
          <cell r="E66">
            <v>317373.998498605</v>
          </cell>
          <cell r="F66">
            <v>5277701.09715959</v>
          </cell>
        </row>
        <row r="67">
          <cell r="A67">
            <v>38808</v>
          </cell>
          <cell r="B67">
            <v>5277701.09715959</v>
          </cell>
          <cell r="C67">
            <v>343454.48079487</v>
          </cell>
          <cell r="D67">
            <v>24644.959370387</v>
          </cell>
          <cell r="E67">
            <v>318809.521424483</v>
          </cell>
          <cell r="F67">
            <v>4958891.57573511</v>
          </cell>
        </row>
        <row r="68">
          <cell r="A68">
            <v>38838</v>
          </cell>
          <cell r="B68">
            <v>4958891.57573511</v>
          </cell>
          <cell r="C68">
            <v>343454.48079487</v>
          </cell>
          <cell r="D68">
            <v>23202.9433918947</v>
          </cell>
          <cell r="E68">
            <v>320251.537402975</v>
          </cell>
          <cell r="F68">
            <v>4638640.03833213</v>
          </cell>
        </row>
        <row r="69">
          <cell r="A69">
            <v>38869</v>
          </cell>
          <cell r="B69">
            <v>4638640.03833213</v>
          </cell>
          <cell r="C69">
            <v>343454.48079487</v>
          </cell>
          <cell r="D69">
            <v>21754.4049918858</v>
          </cell>
          <cell r="E69">
            <v>321700.075802984</v>
          </cell>
          <cell r="F69">
            <v>4316939.96252915</v>
          </cell>
        </row>
        <row r="70">
          <cell r="A70">
            <v>38899</v>
          </cell>
          <cell r="B70">
            <v>4316939.96252915</v>
          </cell>
          <cell r="C70">
            <v>343454.48079487</v>
          </cell>
          <cell r="D70">
            <v>20299.3146686189</v>
          </cell>
          <cell r="E70">
            <v>323155.166126251</v>
          </cell>
          <cell r="F70">
            <v>3993784.7964029</v>
          </cell>
        </row>
        <row r="71">
          <cell r="A71">
            <v>38930</v>
          </cell>
          <cell r="B71">
            <v>3993784.7964029</v>
          </cell>
          <cell r="C71">
            <v>343454.48079487</v>
          </cell>
          <cell r="D71">
            <v>18837.6427869126</v>
          </cell>
          <cell r="E71">
            <v>324616.838007957</v>
          </cell>
          <cell r="F71">
            <v>3669167.95839494</v>
          </cell>
        </row>
        <row r="72">
          <cell r="A72">
            <v>38961</v>
          </cell>
          <cell r="B72">
            <v>3669167.95839494</v>
          </cell>
          <cell r="C72">
            <v>343454.48079487</v>
          </cell>
          <cell r="D72">
            <v>17369.3595775418</v>
          </cell>
          <cell r="E72">
            <v>326085.121217328</v>
          </cell>
          <cell r="F72">
            <v>3343082.83717761</v>
          </cell>
        </row>
        <row r="73">
          <cell r="A73">
            <v>38991</v>
          </cell>
          <cell r="B73">
            <v>3343082.83717761</v>
          </cell>
          <cell r="C73">
            <v>343454.48079487</v>
          </cell>
          <cell r="D73">
            <v>15894.4351366311</v>
          </cell>
          <cell r="E73">
            <v>327560.045658239</v>
          </cell>
          <cell r="F73">
            <v>3015522.79151938</v>
          </cell>
        </row>
        <row r="74">
          <cell r="A74">
            <v>39022</v>
          </cell>
          <cell r="B74">
            <v>3015522.79151938</v>
          </cell>
          <cell r="C74">
            <v>343454.48079487</v>
          </cell>
          <cell r="D74">
            <v>14412.8394250465</v>
          </cell>
          <cell r="E74">
            <v>329041.641369823</v>
          </cell>
          <cell r="F74">
            <v>2686481.15014955</v>
          </cell>
        </row>
        <row r="75">
          <cell r="A75">
            <v>39052</v>
          </cell>
          <cell r="B75">
            <v>2686481.15014955</v>
          </cell>
          <cell r="C75">
            <v>343454.48079487</v>
          </cell>
          <cell r="D75">
            <v>12924.5422677829</v>
          </cell>
          <cell r="E75">
            <v>330529.938527087</v>
          </cell>
          <cell r="F75">
            <v>2355951.21162246</v>
          </cell>
        </row>
        <row r="76">
          <cell r="A76">
            <v>39083</v>
          </cell>
          <cell r="B76">
            <v>2355951.21162246</v>
          </cell>
          <cell r="C76">
            <v>343454.48079487</v>
          </cell>
          <cell r="D76">
            <v>11429.5133533499</v>
          </cell>
          <cell r="E76">
            <v>332024.96744152</v>
          </cell>
          <cell r="F76">
            <v>2023926.24418094</v>
          </cell>
        </row>
        <row r="77">
          <cell r="A77">
            <v>39114</v>
          </cell>
          <cell r="B77">
            <v>2023926.24418094</v>
          </cell>
          <cell r="C77">
            <v>343454.48079487</v>
          </cell>
          <cell r="D77">
            <v>9927.72223315439</v>
          </cell>
          <cell r="E77">
            <v>333526.758561716</v>
          </cell>
          <cell r="F77">
            <v>1690399.48561923</v>
          </cell>
        </row>
        <row r="78">
          <cell r="A78">
            <v>39142</v>
          </cell>
          <cell r="B78">
            <v>1690399.48561923</v>
          </cell>
          <cell r="C78">
            <v>343454.48079487</v>
          </cell>
          <cell r="D78">
            <v>8419.13832088039</v>
          </cell>
          <cell r="E78">
            <v>335035.34247399</v>
          </cell>
          <cell r="F78">
            <v>1355364.14314524</v>
          </cell>
        </row>
        <row r="79">
          <cell r="A79">
            <v>39173</v>
          </cell>
          <cell r="B79">
            <v>1355364.14314524</v>
          </cell>
          <cell r="C79">
            <v>343454.48079487</v>
          </cell>
          <cell r="D79">
            <v>6903.73089186613</v>
          </cell>
          <cell r="E79">
            <v>336550.749903004</v>
          </cell>
          <cell r="F79">
            <v>1018813.39324224</v>
          </cell>
        </row>
        <row r="80">
          <cell r="A80">
            <v>39203</v>
          </cell>
          <cell r="B80">
            <v>1018813.39324224</v>
          </cell>
          <cell r="C80">
            <v>343454.48079487</v>
          </cell>
          <cell r="D80">
            <v>5381.46908247828</v>
          </cell>
          <cell r="E80">
            <v>338073.011712392</v>
          </cell>
          <cell r="F80">
            <v>680740.381529844</v>
          </cell>
        </row>
        <row r="81">
          <cell r="A81">
            <v>39234</v>
          </cell>
          <cell r="B81">
            <v>680740.381529844</v>
          </cell>
          <cell r="C81">
            <v>343454.48079487</v>
          </cell>
          <cell r="D81">
            <v>3852.32188948338</v>
          </cell>
          <cell r="E81">
            <v>339602.158905387</v>
          </cell>
          <cell r="F81">
            <v>341138.222624458</v>
          </cell>
        </row>
        <row r="82">
          <cell r="A82">
            <v>39264</v>
          </cell>
          <cell r="B82">
            <v>341138.222624458</v>
          </cell>
          <cell r="C82">
            <v>343454.48079487</v>
          </cell>
          <cell r="D82">
            <v>2316.25816941642</v>
          </cell>
          <cell r="E82">
            <v>341138.222625454</v>
          </cell>
          <cell r="F82">
            <v>-9.95758455246687E-07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40158.7073311629</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40695.941593682</v>
          </cell>
          <cell r="E30">
            <v>125766.808406318</v>
          </cell>
          <cell r="F30">
            <v>3914516.197952</v>
          </cell>
        </row>
        <row r="31">
          <cell r="A31">
            <v>37834</v>
          </cell>
          <cell r="B31">
            <v>3914516.197952</v>
          </cell>
          <cell r="C31">
            <v>91110.3304366934</v>
          </cell>
          <cell r="D31">
            <v>17745.8067640491</v>
          </cell>
          <cell r="E31">
            <v>73364.5236726443</v>
          </cell>
          <cell r="F31">
            <v>3841151.67427936</v>
          </cell>
        </row>
        <row r="32">
          <cell r="A32">
            <v>37865</v>
          </cell>
          <cell r="B32">
            <v>3841151.67427936</v>
          </cell>
          <cell r="C32">
            <v>91110.3304366934</v>
          </cell>
          <cell r="D32">
            <v>17579.5138437244</v>
          </cell>
          <cell r="E32">
            <v>73530.816592969</v>
          </cell>
          <cell r="F32">
            <v>3767620.85768639</v>
          </cell>
        </row>
        <row r="33">
          <cell r="A33">
            <v>37895</v>
          </cell>
          <cell r="B33">
            <v>3767620.85768639</v>
          </cell>
          <cell r="C33">
            <v>91110.3304366934</v>
          </cell>
          <cell r="D33">
            <v>17246.5510724557</v>
          </cell>
          <cell r="E33">
            <v>73863.7793642377</v>
          </cell>
          <cell r="F33">
            <v>3693757.07832215</v>
          </cell>
        </row>
        <row r="34">
          <cell r="A34">
            <v>37926</v>
          </cell>
          <cell r="B34">
            <v>3693757.07832215</v>
          </cell>
          <cell r="C34">
            <v>91110.3304366934</v>
          </cell>
          <cell r="D34">
            <v>16912.4566549527</v>
          </cell>
          <cell r="E34">
            <v>74197.8737817407</v>
          </cell>
          <cell r="F34">
            <v>3619559.20454041</v>
          </cell>
        </row>
        <row r="35">
          <cell r="A35">
            <v>37956</v>
          </cell>
          <cell r="B35">
            <v>3619559.20454041</v>
          </cell>
          <cell r="C35">
            <v>91110.3304366934</v>
          </cell>
          <cell r="D35">
            <v>16576.8502411551</v>
          </cell>
          <cell r="E35">
            <v>74533.4801955383</v>
          </cell>
          <cell r="F35">
            <v>3545025.72434487</v>
          </cell>
        </row>
        <row r="36">
          <cell r="A36">
            <v>37987</v>
          </cell>
          <cell r="B36">
            <v>3545025.72434487</v>
          </cell>
          <cell r="C36">
            <v>91110.3304366934</v>
          </cell>
          <cell r="D36">
            <v>16239.7258388066</v>
          </cell>
          <cell r="E36">
            <v>74870.6045978868</v>
          </cell>
          <cell r="F36">
            <v>3470155.11974698</v>
          </cell>
        </row>
        <row r="37">
          <cell r="A37">
            <v>38018</v>
          </cell>
          <cell r="B37">
            <v>3470155.11974698</v>
          </cell>
          <cell r="C37">
            <v>91110.3304366934</v>
          </cell>
          <cell r="D37">
            <v>15901.0765799415</v>
          </cell>
          <cell r="E37">
            <v>75209.2538567519</v>
          </cell>
          <cell r="F37">
            <v>3394945.86589023</v>
          </cell>
        </row>
        <row r="38">
          <cell r="A38">
            <v>38047</v>
          </cell>
          <cell r="B38">
            <v>3394945.86589023</v>
          </cell>
          <cell r="C38">
            <v>91110.3304366934</v>
          </cell>
          <cell r="D38">
            <v>15560.8955674444</v>
          </cell>
          <cell r="E38">
            <v>75549.434869249</v>
          </cell>
          <cell r="F38">
            <v>3319396.43102098</v>
          </cell>
        </row>
        <row r="39">
          <cell r="A39">
            <v>38078</v>
          </cell>
          <cell r="B39">
            <v>3319396.43102098</v>
          </cell>
          <cell r="C39">
            <v>91110.3304366934</v>
          </cell>
          <cell r="D39">
            <v>15219.1758729987</v>
          </cell>
          <cell r="E39">
            <v>75891.1545636947</v>
          </cell>
          <cell r="F39">
            <v>3243505.27645729</v>
          </cell>
        </row>
        <row r="40">
          <cell r="A40">
            <v>38108</v>
          </cell>
          <cell r="B40">
            <v>3243505.27645729</v>
          </cell>
          <cell r="C40">
            <v>91110.3304366934</v>
          </cell>
          <cell r="D40">
            <v>14875.9105369507</v>
          </cell>
          <cell r="E40">
            <v>76234.4198997427</v>
          </cell>
          <cell r="F40">
            <v>3167270.85655755</v>
          </cell>
        </row>
        <row r="41">
          <cell r="A41">
            <v>38139</v>
          </cell>
          <cell r="B41">
            <v>3167270.85655755</v>
          </cell>
          <cell r="C41">
            <v>91110.3304366934</v>
          </cell>
          <cell r="D41">
            <v>14531.092568167</v>
          </cell>
          <cell r="E41">
            <v>76579.2378685265</v>
          </cell>
          <cell r="F41">
            <v>3090691.61868902</v>
          </cell>
        </row>
        <row r="42">
          <cell r="A42">
            <v>38169</v>
          </cell>
          <cell r="B42">
            <v>3090691.61868902</v>
          </cell>
          <cell r="C42">
            <v>91110.3304366934</v>
          </cell>
          <cell r="D42">
            <v>14184.7149438922</v>
          </cell>
          <cell r="E42">
            <v>76925.6154928012</v>
          </cell>
          <cell r="F42">
            <v>3013766.00319622</v>
          </cell>
        </row>
        <row r="43">
          <cell r="A43">
            <v>38200</v>
          </cell>
          <cell r="B43">
            <v>3013766.00319622</v>
          </cell>
          <cell r="C43">
            <v>91110.3304366934</v>
          </cell>
          <cell r="D43">
            <v>13836.7706096065</v>
          </cell>
          <cell r="E43">
            <v>77273.5598270869</v>
          </cell>
          <cell r="F43">
            <v>2936492.44336913</v>
          </cell>
        </row>
        <row r="44">
          <cell r="A44">
            <v>38231</v>
          </cell>
          <cell r="B44">
            <v>2936492.44336913</v>
          </cell>
          <cell r="C44">
            <v>91110.3304366934</v>
          </cell>
          <cell r="D44">
            <v>13487.2524788815</v>
          </cell>
          <cell r="E44">
            <v>77623.0779578119</v>
          </cell>
          <cell r="F44">
            <v>2858869.36541132</v>
          </cell>
        </row>
        <row r="45">
          <cell r="A45">
            <v>38261</v>
          </cell>
          <cell r="B45">
            <v>2858869.36541132</v>
          </cell>
          <cell r="C45">
            <v>91110.3304366934</v>
          </cell>
          <cell r="D45">
            <v>13136.1534332357</v>
          </cell>
          <cell r="E45">
            <v>77974.1770034577</v>
          </cell>
          <cell r="F45">
            <v>2780895.18840786</v>
          </cell>
        </row>
        <row r="46">
          <cell r="A46">
            <v>38292</v>
          </cell>
          <cell r="B46">
            <v>2780895.18840786</v>
          </cell>
          <cell r="C46">
            <v>91110.3304366934</v>
          </cell>
          <cell r="D46">
            <v>12783.4663219901</v>
          </cell>
          <cell r="E46">
            <v>78326.8641147033</v>
          </cell>
          <cell r="F46">
            <v>2702568.32429316</v>
          </cell>
        </row>
        <row r="47">
          <cell r="A47">
            <v>38322</v>
          </cell>
          <cell r="B47">
            <v>2702568.32429316</v>
          </cell>
          <cell r="C47">
            <v>91110.3304366934</v>
          </cell>
          <cell r="D47">
            <v>12429.1839621223</v>
          </cell>
          <cell r="E47">
            <v>78681.1464745711</v>
          </cell>
          <cell r="F47">
            <v>2623887.17781859</v>
          </cell>
        </row>
        <row r="48">
          <cell r="A48">
            <v>38353</v>
          </cell>
          <cell r="B48">
            <v>2623887.17781859</v>
          </cell>
          <cell r="C48">
            <v>91110.3304366934</v>
          </cell>
          <cell r="D48">
            <v>12073.29913812</v>
          </cell>
          <cell r="E48">
            <v>79037.0312985734</v>
          </cell>
          <cell r="F48">
            <v>2544850.14652001</v>
          </cell>
        </row>
        <row r="49">
          <cell r="A49">
            <v>38384</v>
          </cell>
          <cell r="B49">
            <v>2544850.14652001</v>
          </cell>
          <cell r="C49">
            <v>91110.3304366934</v>
          </cell>
          <cell r="D49">
            <v>11715.8046018342</v>
          </cell>
          <cell r="E49">
            <v>79394.5258348592</v>
          </cell>
          <cell r="F49">
            <v>2465455.62068515</v>
          </cell>
        </row>
        <row r="50">
          <cell r="A50">
            <v>38412</v>
          </cell>
          <cell r="B50">
            <v>2465455.62068515</v>
          </cell>
          <cell r="C50">
            <v>91110.3304366934</v>
          </cell>
          <cell r="D50">
            <v>11356.6930723317</v>
          </cell>
          <cell r="E50">
            <v>79753.6373643617</v>
          </cell>
          <cell r="F50">
            <v>2385701.98332079</v>
          </cell>
        </row>
        <row r="51">
          <cell r="A51">
            <v>38443</v>
          </cell>
          <cell r="B51">
            <v>2385701.98332079</v>
          </cell>
          <cell r="C51">
            <v>91110.3304366934</v>
          </cell>
          <cell r="D51">
            <v>10995.9572357468</v>
          </cell>
          <cell r="E51">
            <v>80114.3732009466</v>
          </cell>
          <cell r="F51">
            <v>2305587.61011985</v>
          </cell>
        </row>
        <row r="52">
          <cell r="A52">
            <v>38473</v>
          </cell>
          <cell r="B52">
            <v>2305587.61011985</v>
          </cell>
          <cell r="C52">
            <v>91110.3304366934</v>
          </cell>
          <cell r="D52">
            <v>10633.5897451321</v>
          </cell>
          <cell r="E52">
            <v>80476.7406915613</v>
          </cell>
          <cell r="F52">
            <v>2225110.86942828</v>
          </cell>
        </row>
        <row r="53">
          <cell r="A53">
            <v>38504</v>
          </cell>
          <cell r="B53">
            <v>2225110.86942828</v>
          </cell>
          <cell r="C53">
            <v>91110.3304366934</v>
          </cell>
          <cell r="D53">
            <v>10269.5832203091</v>
          </cell>
          <cell r="E53">
            <v>80840.7472163843</v>
          </cell>
          <cell r="F53">
            <v>2144270.1222119</v>
          </cell>
        </row>
        <row r="54">
          <cell r="A54">
            <v>38534</v>
          </cell>
          <cell r="B54">
            <v>2144270.1222119</v>
          </cell>
          <cell r="C54">
            <v>91110.3304366934</v>
          </cell>
          <cell r="D54">
            <v>9903.93024771775</v>
          </cell>
          <cell r="E54">
            <v>81206.4001889756</v>
          </cell>
          <cell r="F54">
            <v>2063063.72202292</v>
          </cell>
        </row>
        <row r="55">
          <cell r="A55">
            <v>38565</v>
          </cell>
          <cell r="B55">
            <v>2063063.72202292</v>
          </cell>
          <cell r="C55">
            <v>91110.3304366934</v>
          </cell>
          <cell r="D55">
            <v>9536.6233802656</v>
          </cell>
          <cell r="E55">
            <v>81573.7070564278</v>
          </cell>
          <cell r="F55">
            <v>1981490.0149665</v>
          </cell>
        </row>
        <row r="56">
          <cell r="A56">
            <v>38596</v>
          </cell>
          <cell r="B56">
            <v>1981490.0149665</v>
          </cell>
          <cell r="C56">
            <v>91110.3304366934</v>
          </cell>
          <cell r="D56">
            <v>9167.65513717602</v>
          </cell>
          <cell r="E56">
            <v>81942.6752995174</v>
          </cell>
          <cell r="F56">
            <v>1899547.33966698</v>
          </cell>
        </row>
        <row r="57">
          <cell r="A57">
            <v>38626</v>
          </cell>
          <cell r="B57">
            <v>1899547.33966698</v>
          </cell>
          <cell r="C57">
            <v>91110.3304366934</v>
          </cell>
          <cell r="D57">
            <v>8797.01800383588</v>
          </cell>
          <cell r="E57">
            <v>82313.3124328575</v>
          </cell>
          <cell r="F57">
            <v>1817234.02723412</v>
          </cell>
        </row>
        <row r="58">
          <cell r="A58">
            <v>38657</v>
          </cell>
          <cell r="B58">
            <v>1817234.02723412</v>
          </cell>
          <cell r="C58">
            <v>91110.3304366934</v>
          </cell>
          <cell r="D58">
            <v>8424.70443164249</v>
          </cell>
          <cell r="E58">
            <v>82685.6260050509</v>
          </cell>
          <cell r="F58">
            <v>1734548.40122907</v>
          </cell>
        </row>
        <row r="59">
          <cell r="A59">
            <v>38687</v>
          </cell>
          <cell r="B59">
            <v>1734548.40122907</v>
          </cell>
          <cell r="C59">
            <v>91110.3304366934</v>
          </cell>
          <cell r="D59">
            <v>8050.7068378499</v>
          </cell>
          <cell r="E59">
            <v>83059.6235988435</v>
          </cell>
          <cell r="F59">
            <v>1651488.77763023</v>
          </cell>
        </row>
        <row r="60">
          <cell r="A60">
            <v>38718</v>
          </cell>
          <cell r="B60">
            <v>1651488.77763023</v>
          </cell>
          <cell r="C60">
            <v>91110.3304366934</v>
          </cell>
          <cell r="D60">
            <v>7675.01760541441</v>
          </cell>
          <cell r="E60">
            <v>83435.312831279</v>
          </cell>
          <cell r="F60">
            <v>1568053.46479895</v>
          </cell>
        </row>
        <row r="61">
          <cell r="A61">
            <v>38749</v>
          </cell>
          <cell r="B61">
            <v>1568053.46479895</v>
          </cell>
          <cell r="C61">
            <v>91110.3304366934</v>
          </cell>
          <cell r="D61">
            <v>7297.62908283946</v>
          </cell>
          <cell r="E61">
            <v>83812.7013538539</v>
          </cell>
          <cell r="F61">
            <v>1484240.76344509</v>
          </cell>
        </row>
        <row r="62">
          <cell r="A62">
            <v>38777</v>
          </cell>
          <cell r="B62">
            <v>1484240.76344509</v>
          </cell>
          <cell r="C62">
            <v>91110.3304366934</v>
          </cell>
          <cell r="D62">
            <v>6918.53358401983</v>
          </cell>
          <cell r="E62">
            <v>84191.7968526736</v>
          </cell>
          <cell r="F62">
            <v>1400048.96659242</v>
          </cell>
        </row>
        <row r="63">
          <cell r="A63">
            <v>38808</v>
          </cell>
          <cell r="B63">
            <v>1400048.96659242</v>
          </cell>
          <cell r="C63">
            <v>91110.3304366934</v>
          </cell>
          <cell r="D63">
            <v>6537.72338808503</v>
          </cell>
          <cell r="E63">
            <v>84572.6070486084</v>
          </cell>
          <cell r="F63">
            <v>1315476.35954381</v>
          </cell>
        </row>
        <row r="64">
          <cell r="A64">
            <v>38838</v>
          </cell>
          <cell r="B64">
            <v>1315476.35954381</v>
          </cell>
          <cell r="C64">
            <v>91110.3304366934</v>
          </cell>
          <cell r="D64">
            <v>6155.19073924213</v>
          </cell>
          <cell r="E64">
            <v>84955.1396974513</v>
          </cell>
          <cell r="F64">
            <v>1230521.21984636</v>
          </cell>
        </row>
        <row r="65">
          <cell r="A65">
            <v>38869</v>
          </cell>
          <cell r="B65">
            <v>1230521.21984636</v>
          </cell>
          <cell r="C65">
            <v>91110.3304366934</v>
          </cell>
          <cell r="D65">
            <v>5770.92784661772</v>
          </cell>
          <cell r="E65">
            <v>85339.4025900757</v>
          </cell>
          <cell r="F65">
            <v>1145181.81725629</v>
          </cell>
        </row>
        <row r="66">
          <cell r="A66">
            <v>38899</v>
          </cell>
          <cell r="B66">
            <v>1145181.81725629</v>
          </cell>
          <cell r="C66">
            <v>91110.3304366934</v>
          </cell>
          <cell r="D66">
            <v>5384.92688409933</v>
          </cell>
          <cell r="E66">
            <v>85725.4035525941</v>
          </cell>
          <cell r="F66">
            <v>1059456.41370369</v>
          </cell>
        </row>
        <row r="67">
          <cell r="A67">
            <v>38930</v>
          </cell>
          <cell r="B67">
            <v>1059456.41370369</v>
          </cell>
          <cell r="C67">
            <v>91110.3304366934</v>
          </cell>
          <cell r="D67">
            <v>4997.17999017595</v>
          </cell>
          <cell r="E67">
            <v>86113.1504465175</v>
          </cell>
          <cell r="F67">
            <v>973343.263257174</v>
          </cell>
        </row>
        <row r="68">
          <cell r="A68">
            <v>38961</v>
          </cell>
          <cell r="B68">
            <v>973343.263257174</v>
          </cell>
          <cell r="C68">
            <v>91110.3304366934</v>
          </cell>
          <cell r="D68">
            <v>4607.67926777796</v>
          </cell>
          <cell r="E68">
            <v>86502.6511689154</v>
          </cell>
          <cell r="F68">
            <v>886840.612088258</v>
          </cell>
        </row>
        <row r="69">
          <cell r="A69">
            <v>38991</v>
          </cell>
          <cell r="B69">
            <v>886840.612088258</v>
          </cell>
          <cell r="C69">
            <v>91110.3304366934</v>
          </cell>
          <cell r="D69">
            <v>4216.41678411631</v>
          </cell>
          <cell r="E69">
            <v>86893.9136525771</v>
          </cell>
          <cell r="F69">
            <v>799946.698435681</v>
          </cell>
        </row>
        <row r="70">
          <cell r="A70">
            <v>39022</v>
          </cell>
          <cell r="B70">
            <v>799946.698435681</v>
          </cell>
          <cell r="C70">
            <v>91110.3304366934</v>
          </cell>
          <cell r="D70">
            <v>3823.38457052093</v>
          </cell>
          <cell r="E70">
            <v>87286.9458661725</v>
          </cell>
          <cell r="F70">
            <v>712659.752569509</v>
          </cell>
        </row>
        <row r="71">
          <cell r="A71">
            <v>39052</v>
          </cell>
          <cell r="B71">
            <v>712659.752569509</v>
          </cell>
          <cell r="C71">
            <v>91110.3304366934</v>
          </cell>
          <cell r="D71">
            <v>3428.57462227843</v>
          </cell>
          <cell r="E71">
            <v>87681.755814415</v>
          </cell>
          <cell r="F71">
            <v>624977.996755094</v>
          </cell>
        </row>
        <row r="72">
          <cell r="A72">
            <v>39083</v>
          </cell>
          <cell r="B72">
            <v>624977.996755094</v>
          </cell>
          <cell r="C72">
            <v>91110.3304366934</v>
          </cell>
          <cell r="D72">
            <v>3031.9788984691</v>
          </cell>
          <cell r="E72">
            <v>88078.3515382243</v>
          </cell>
          <cell r="F72">
            <v>536899.645216869</v>
          </cell>
        </row>
        <row r="73">
          <cell r="A73">
            <v>39114</v>
          </cell>
          <cell r="B73">
            <v>536899.645216869</v>
          </cell>
          <cell r="C73">
            <v>91110.3304366934</v>
          </cell>
          <cell r="D73">
            <v>2633.58932180312</v>
          </cell>
          <cell r="E73">
            <v>88476.7411148903</v>
          </cell>
          <cell r="F73">
            <v>448422.904101979</v>
          </cell>
        </row>
        <row r="74">
          <cell r="A74">
            <v>39142</v>
          </cell>
          <cell r="B74">
            <v>448422.904101979</v>
          </cell>
          <cell r="C74">
            <v>91110.3304366934</v>
          </cell>
          <cell r="D74">
            <v>2233.39777845606</v>
          </cell>
          <cell r="E74">
            <v>88876.9326582373</v>
          </cell>
          <cell r="F74">
            <v>359545.971443742</v>
          </cell>
        </row>
        <row r="75">
          <cell r="A75">
            <v>39173</v>
          </cell>
          <cell r="B75">
            <v>359545.971443742</v>
          </cell>
          <cell r="C75">
            <v>91110.3304366934</v>
          </cell>
          <cell r="D75">
            <v>1831.39611790363</v>
          </cell>
          <cell r="E75">
            <v>89278.9343187898</v>
          </cell>
          <cell r="F75">
            <v>270267.037124952</v>
          </cell>
        </row>
        <row r="76">
          <cell r="A76">
            <v>39203</v>
          </cell>
          <cell r="B76">
            <v>270267.037124952</v>
          </cell>
          <cell r="C76">
            <v>91110.3304366934</v>
          </cell>
          <cell r="D76">
            <v>1427.57615275571</v>
          </cell>
          <cell r="E76">
            <v>89682.7542839377</v>
          </cell>
          <cell r="F76">
            <v>180584.282841014</v>
          </cell>
        </row>
        <row r="77">
          <cell r="A77">
            <v>39234</v>
          </cell>
          <cell r="B77">
            <v>180584.282841014</v>
          </cell>
          <cell r="C77">
            <v>91110.3304366934</v>
          </cell>
          <cell r="D77">
            <v>1021.92965858952</v>
          </cell>
          <cell r="E77">
            <v>90088.4007781039</v>
          </cell>
          <cell r="F77">
            <v>90495.8820629104</v>
          </cell>
        </row>
        <row r="78">
          <cell r="A78">
            <v>39264</v>
          </cell>
          <cell r="B78">
            <v>90495.8820629104</v>
          </cell>
          <cell r="C78">
            <v>91110.3304366934</v>
          </cell>
          <cell r="D78">
            <v>614.448373782229</v>
          </cell>
          <cell r="E78">
            <v>90495.8820629112</v>
          </cell>
          <cell r="F78">
            <v>-7.8580342233181E-10</v>
          </cell>
        </row>
      </sheetData>
      <sheetData sheetId="119">
        <row r="18">
          <cell r="F18">
            <v>0.0322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v>
          </cell>
          <cell r="E4">
            <v>132223.581666667</v>
          </cell>
          <cell r="F4">
            <v>19799298.0816667</v>
          </cell>
        </row>
        <row r="5">
          <cell r="A5">
            <v>34578</v>
          </cell>
          <cell r="B5">
            <v>19799298.0816667</v>
          </cell>
          <cell r="C5">
            <v>166462.75</v>
          </cell>
          <cell r="D5">
            <v>34467.4294555555</v>
          </cell>
          <cell r="E5">
            <v>131995.320544444</v>
          </cell>
          <cell r="F5">
            <v>19764830.6522111</v>
          </cell>
        </row>
        <row r="6">
          <cell r="A6">
            <v>34608</v>
          </cell>
          <cell r="B6">
            <v>19764830.6522111</v>
          </cell>
          <cell r="C6">
            <v>166462.75</v>
          </cell>
          <cell r="D6">
            <v>34697.2123185926</v>
          </cell>
          <cell r="E6">
            <v>131765.537681407</v>
          </cell>
          <cell r="F6">
            <v>19730133.4398925</v>
          </cell>
        </row>
        <row r="7">
          <cell r="A7">
            <v>34639</v>
          </cell>
          <cell r="B7">
            <v>19730133.4398925</v>
          </cell>
          <cell r="C7">
            <v>166462.75</v>
          </cell>
          <cell r="D7">
            <v>34928.5270673832</v>
          </cell>
          <cell r="E7">
            <v>131534.222932617</v>
          </cell>
          <cell r="F7">
            <v>19695204.9128251</v>
          </cell>
        </row>
        <row r="8">
          <cell r="A8">
            <v>34669</v>
          </cell>
          <cell r="B8">
            <v>19695204.9128251</v>
          </cell>
          <cell r="C8">
            <v>166462.75</v>
          </cell>
          <cell r="D8">
            <v>35161.3839144991</v>
          </cell>
          <cell r="E8">
            <v>131301.366085501</v>
          </cell>
          <cell r="F8">
            <v>19660043.5289106</v>
          </cell>
        </row>
        <row r="9">
          <cell r="A9">
            <v>34700</v>
          </cell>
          <cell r="B9">
            <v>19660043.5289106</v>
          </cell>
          <cell r="C9">
            <v>166462.75</v>
          </cell>
          <cell r="D9">
            <v>35395.7931405958</v>
          </cell>
          <cell r="E9">
            <v>131066.956859404</v>
          </cell>
          <cell r="F9">
            <v>19624647.73577</v>
          </cell>
        </row>
        <row r="10">
          <cell r="A10">
            <v>34731</v>
          </cell>
          <cell r="B10">
            <v>19624647.73577</v>
          </cell>
          <cell r="C10">
            <v>166462.75</v>
          </cell>
          <cell r="D10">
            <v>35631.7650948664</v>
          </cell>
          <cell r="E10">
            <v>130830.984905134</v>
          </cell>
          <cell r="F10">
            <v>19589015.9706752</v>
          </cell>
        </row>
        <row r="11">
          <cell r="A11">
            <v>34759</v>
          </cell>
          <cell r="B11">
            <v>19589015.9706752</v>
          </cell>
          <cell r="C11">
            <v>166462.75</v>
          </cell>
          <cell r="D11">
            <v>35869.3101954988</v>
          </cell>
          <cell r="E11">
            <v>130593.439804501</v>
          </cell>
          <cell r="F11">
            <v>19553146.6604797</v>
          </cell>
        </row>
        <row r="12">
          <cell r="A12">
            <v>34790</v>
          </cell>
          <cell r="B12">
            <v>19553146.6604797</v>
          </cell>
          <cell r="C12">
            <v>166462.75</v>
          </cell>
          <cell r="D12">
            <v>36108.4389301355</v>
          </cell>
          <cell r="E12">
            <v>130354.311069865</v>
          </cell>
          <cell r="F12">
            <v>19517038.2215495</v>
          </cell>
        </row>
        <row r="13">
          <cell r="A13">
            <v>34820</v>
          </cell>
          <cell r="B13">
            <v>19517038.2215495</v>
          </cell>
          <cell r="C13">
            <v>166462.75</v>
          </cell>
          <cell r="D13">
            <v>36349.1618563364</v>
          </cell>
          <cell r="E13">
            <v>130113.588143664</v>
          </cell>
          <cell r="F13">
            <v>19480689.0596932</v>
          </cell>
        </row>
        <row r="14">
          <cell r="A14">
            <v>34851</v>
          </cell>
          <cell r="B14">
            <v>19480689.0596932</v>
          </cell>
          <cell r="C14">
            <v>166462.75</v>
          </cell>
          <cell r="D14">
            <v>36591.4896020453</v>
          </cell>
          <cell r="E14">
            <v>129871.260397955</v>
          </cell>
          <cell r="F14">
            <v>19444097.5700912</v>
          </cell>
        </row>
        <row r="15">
          <cell r="A15">
            <v>34881</v>
          </cell>
          <cell r="B15">
            <v>19444097.5700912</v>
          </cell>
          <cell r="C15">
            <v>166462.75</v>
          </cell>
          <cell r="D15">
            <v>36835.4328660589</v>
          </cell>
          <cell r="E15">
            <v>129627.317133941</v>
          </cell>
          <cell r="F15">
            <v>19407262.1372251</v>
          </cell>
        </row>
        <row r="16">
          <cell r="A16">
            <v>34912</v>
          </cell>
          <cell r="B16">
            <v>19407262.1372251</v>
          </cell>
          <cell r="C16">
            <v>166462.75</v>
          </cell>
          <cell r="D16">
            <v>37081.0024184993</v>
          </cell>
          <cell r="E16">
            <v>129381.747581501</v>
          </cell>
          <cell r="F16">
            <v>19370181.1348066</v>
          </cell>
        </row>
        <row r="17">
          <cell r="A17">
            <v>34943</v>
          </cell>
          <cell r="B17">
            <v>19370181.1348066</v>
          </cell>
          <cell r="C17">
            <v>166462.75</v>
          </cell>
          <cell r="D17">
            <v>37328.2091012893</v>
          </cell>
          <cell r="E17">
            <v>129134.540898711</v>
          </cell>
          <cell r="F17">
            <v>19332852.9257053</v>
          </cell>
        </row>
        <row r="18">
          <cell r="A18">
            <v>34973</v>
          </cell>
          <cell r="B18">
            <v>19332852.9257053</v>
          </cell>
          <cell r="C18">
            <v>166462.75</v>
          </cell>
          <cell r="D18">
            <v>37577.0638286312</v>
          </cell>
          <cell r="E18">
            <v>128885.686171369</v>
          </cell>
          <cell r="F18">
            <v>19295275.8618767</v>
          </cell>
        </row>
        <row r="19">
          <cell r="A19">
            <v>35004</v>
          </cell>
          <cell r="B19">
            <v>19295275.8618767</v>
          </cell>
          <cell r="C19">
            <v>166462.75</v>
          </cell>
          <cell r="D19">
            <v>37827.5775874888</v>
          </cell>
          <cell r="E19">
            <v>128635.172412511</v>
          </cell>
          <cell r="F19">
            <v>19257448.2842892</v>
          </cell>
        </row>
        <row r="20">
          <cell r="A20">
            <v>35034</v>
          </cell>
          <cell r="B20">
            <v>19257448.2842892</v>
          </cell>
          <cell r="C20">
            <v>166462.75</v>
          </cell>
          <cell r="D20">
            <v>38079.761438072</v>
          </cell>
          <cell r="E20">
            <v>128382.988561928</v>
          </cell>
          <cell r="F20">
            <v>19219368.5228511</v>
          </cell>
        </row>
        <row r="21">
          <cell r="A21">
            <v>35065</v>
          </cell>
          <cell r="B21">
            <v>19219368.5228511</v>
          </cell>
          <cell r="C21">
            <v>166462.75</v>
          </cell>
          <cell r="D21">
            <v>38333.6265143258</v>
          </cell>
          <cell r="E21">
            <v>128129.123485674</v>
          </cell>
          <cell r="F21">
            <v>19181034.8963368</v>
          </cell>
        </row>
        <row r="22">
          <cell r="A22">
            <v>35096</v>
          </cell>
          <cell r="B22">
            <v>19181034.8963368</v>
          </cell>
          <cell r="C22">
            <v>166462.75</v>
          </cell>
          <cell r="D22">
            <v>38589.1840244213</v>
          </cell>
          <cell r="E22">
            <v>127873.565975579</v>
          </cell>
          <cell r="F22">
            <v>19142445.7123124</v>
          </cell>
        </row>
        <row r="23">
          <cell r="A23">
            <v>35125</v>
          </cell>
          <cell r="B23">
            <v>19142445.7123124</v>
          </cell>
          <cell r="C23">
            <v>166462.75</v>
          </cell>
          <cell r="D23">
            <v>38846.4452512508</v>
          </cell>
          <cell r="E23">
            <v>127616.304748749</v>
          </cell>
          <cell r="F23">
            <v>19103599.2670611</v>
          </cell>
        </row>
        <row r="24">
          <cell r="A24">
            <v>35156</v>
          </cell>
          <cell r="B24">
            <v>19103599.2670611</v>
          </cell>
          <cell r="C24">
            <v>166462.75</v>
          </cell>
          <cell r="D24">
            <v>39105.4215529258</v>
          </cell>
          <cell r="E24">
            <v>127357.328447074</v>
          </cell>
          <cell r="F24">
            <v>19064493.8455082</v>
          </cell>
        </row>
        <row r="25">
          <cell r="A25">
            <v>35186</v>
          </cell>
          <cell r="B25">
            <v>19064493.8455082</v>
          </cell>
          <cell r="C25">
            <v>166462.75</v>
          </cell>
          <cell r="D25">
            <v>39366.1243632787</v>
          </cell>
          <cell r="E25">
            <v>127096.625636721</v>
          </cell>
          <cell r="F25">
            <v>19025127.7211449</v>
          </cell>
        </row>
        <row r="26">
          <cell r="A26">
            <v>35217</v>
          </cell>
          <cell r="B26">
            <v>19025127.7211449</v>
          </cell>
          <cell r="C26">
            <v>166462.75</v>
          </cell>
          <cell r="D26">
            <v>39628.5651923672</v>
          </cell>
          <cell r="E26">
            <v>126834.184807633</v>
          </cell>
          <cell r="F26">
            <v>18985499.1559526</v>
          </cell>
        </row>
        <row r="27">
          <cell r="A27">
            <v>35247</v>
          </cell>
          <cell r="B27">
            <v>18985499.1559526</v>
          </cell>
          <cell r="C27">
            <v>166462.75</v>
          </cell>
          <cell r="D27">
            <v>39892.755626983</v>
          </cell>
          <cell r="E27">
            <v>126569.994373017</v>
          </cell>
          <cell r="F27">
            <v>18945606.4003256</v>
          </cell>
        </row>
        <row r="28">
          <cell r="A28">
            <v>35278</v>
          </cell>
          <cell r="B28">
            <v>18945606.4003256</v>
          </cell>
          <cell r="C28">
            <v>166462.75</v>
          </cell>
          <cell r="D28">
            <v>40158.7073311629</v>
          </cell>
          <cell r="E28">
            <v>126304.042668837</v>
          </cell>
          <cell r="F28">
            <v>18905447.6929944</v>
          </cell>
        </row>
        <row r="29">
          <cell r="A29">
            <v>35309</v>
          </cell>
          <cell r="B29">
            <v>18905447.6929944</v>
          </cell>
          <cell r="C29">
            <v>166462.75</v>
          </cell>
          <cell r="D29">
            <v>40426.4320467039</v>
          </cell>
          <cell r="E29">
            <v>126036.317953296</v>
          </cell>
          <cell r="F29">
            <v>18865021.2609477</v>
          </cell>
        </row>
        <row r="30">
          <cell r="A30">
            <v>35339</v>
          </cell>
          <cell r="B30">
            <v>18865021.2609477</v>
          </cell>
          <cell r="C30">
            <v>166462.75</v>
          </cell>
          <cell r="D30">
            <v>40695.941593682</v>
          </cell>
          <cell r="E30">
            <v>125766.808406318</v>
          </cell>
          <cell r="F30">
            <v>18824325.319354</v>
          </cell>
        </row>
        <row r="31">
          <cell r="A31">
            <v>35370</v>
          </cell>
          <cell r="B31">
            <v>18824325.319354</v>
          </cell>
          <cell r="C31">
            <v>166462.75</v>
          </cell>
          <cell r="D31">
            <v>40967.2478709732</v>
          </cell>
          <cell r="E31">
            <v>125495.502129027</v>
          </cell>
          <cell r="F31">
            <v>18783358.0714831</v>
          </cell>
        </row>
        <row r="32">
          <cell r="A32">
            <v>35400</v>
          </cell>
          <cell r="B32">
            <v>18783358.0714831</v>
          </cell>
          <cell r="C32">
            <v>166462.75</v>
          </cell>
          <cell r="D32">
            <v>41240.3628567797</v>
          </cell>
          <cell r="E32">
            <v>125222.38714322</v>
          </cell>
          <cell r="F32">
            <v>18742117.7086263</v>
          </cell>
        </row>
        <row r="33">
          <cell r="A33">
            <v>35431</v>
          </cell>
          <cell r="B33">
            <v>18742117.7086263</v>
          </cell>
          <cell r="C33">
            <v>166462.75</v>
          </cell>
          <cell r="D33">
            <v>41515.2986091582</v>
          </cell>
          <cell r="E33">
            <v>124947.451390842</v>
          </cell>
          <cell r="F33">
            <v>18700602.4100171</v>
          </cell>
        </row>
        <row r="34">
          <cell r="A34">
            <v>35462</v>
          </cell>
          <cell r="B34">
            <v>18700602.4100171</v>
          </cell>
          <cell r="C34">
            <v>166462.75</v>
          </cell>
          <cell r="D34">
            <v>41792.0672665526</v>
          </cell>
          <cell r="E34">
            <v>124670.682733447</v>
          </cell>
          <cell r="F34">
            <v>18658810.3427506</v>
          </cell>
        </row>
        <row r="35">
          <cell r="A35">
            <v>35490</v>
          </cell>
          <cell r="B35">
            <v>18658810.3427506</v>
          </cell>
          <cell r="C35">
            <v>166462.75</v>
          </cell>
          <cell r="D35">
            <v>42070.6810483296</v>
          </cell>
          <cell r="E35">
            <v>124392.06895167</v>
          </cell>
          <cell r="F35">
            <v>18616739.6617022</v>
          </cell>
        </row>
        <row r="36">
          <cell r="A36">
            <v>35521</v>
          </cell>
          <cell r="B36">
            <v>18616739.6617022</v>
          </cell>
          <cell r="C36">
            <v>166462.75</v>
          </cell>
          <cell r="D36">
            <v>42351.1522553185</v>
          </cell>
          <cell r="E36">
            <v>124111.597744682</v>
          </cell>
          <cell r="F36">
            <v>18574388.5094469</v>
          </cell>
        </row>
        <row r="37">
          <cell r="A37">
            <v>35551</v>
          </cell>
          <cell r="B37">
            <v>18574388.5094469</v>
          </cell>
          <cell r="C37">
            <v>166462.75</v>
          </cell>
          <cell r="D37">
            <v>42633.4932703539</v>
          </cell>
          <cell r="E37">
            <v>123829.256729646</v>
          </cell>
          <cell r="F37">
            <v>18531755.0161766</v>
          </cell>
        </row>
        <row r="38">
          <cell r="A38">
            <v>35582</v>
          </cell>
          <cell r="B38">
            <v>18531755.0161766</v>
          </cell>
          <cell r="C38">
            <v>166462.75</v>
          </cell>
          <cell r="D38">
            <v>42917.716558823</v>
          </cell>
          <cell r="E38">
            <v>123545.033441177</v>
          </cell>
          <cell r="F38">
            <v>18488837.2996177</v>
          </cell>
        </row>
        <row r="39">
          <cell r="A39">
            <v>35612</v>
          </cell>
          <cell r="B39">
            <v>18488837.2996177</v>
          </cell>
          <cell r="C39">
            <v>166462.75</v>
          </cell>
          <cell r="D39">
            <v>43203.8346692151</v>
          </cell>
          <cell r="E39">
            <v>123258.915330785</v>
          </cell>
          <cell r="F39">
            <v>18445633.4649485</v>
          </cell>
        </row>
        <row r="40">
          <cell r="A40">
            <v>35643</v>
          </cell>
          <cell r="B40">
            <v>18445633.4649485</v>
          </cell>
          <cell r="C40">
            <v>166462.75</v>
          </cell>
          <cell r="D40">
            <v>43491.8602336765</v>
          </cell>
          <cell r="E40">
            <v>122970.889766323</v>
          </cell>
          <cell r="F40">
            <v>18402141.6047148</v>
          </cell>
        </row>
        <row r="41">
          <cell r="A41">
            <v>35674</v>
          </cell>
          <cell r="B41">
            <v>18402141.6047148</v>
          </cell>
          <cell r="C41">
            <v>166462.75</v>
          </cell>
          <cell r="D41">
            <v>43781.8059685677</v>
          </cell>
          <cell r="E41">
            <v>122680.944031432</v>
          </cell>
          <cell r="F41">
            <v>18358359.7987463</v>
          </cell>
        </row>
        <row r="42">
          <cell r="A42">
            <v>35704</v>
          </cell>
          <cell r="B42">
            <v>18358359.7987463</v>
          </cell>
          <cell r="C42">
            <v>166462.75</v>
          </cell>
          <cell r="D42">
            <v>44073.6846750248</v>
          </cell>
          <cell r="E42">
            <v>122389.065324975</v>
          </cell>
          <cell r="F42">
            <v>18314286.1140713</v>
          </cell>
        </row>
        <row r="43">
          <cell r="A43">
            <v>35735</v>
          </cell>
          <cell r="B43">
            <v>18314286.1140713</v>
          </cell>
          <cell r="C43">
            <v>166462.75</v>
          </cell>
          <cell r="D43">
            <v>44367.509239525</v>
          </cell>
          <cell r="E43">
            <v>122095.240760475</v>
          </cell>
          <cell r="F43">
            <v>18269918.6048317</v>
          </cell>
        </row>
        <row r="44">
          <cell r="A44">
            <v>35765</v>
          </cell>
          <cell r="B44">
            <v>18269918.6048317</v>
          </cell>
          <cell r="C44">
            <v>166462.75</v>
          </cell>
          <cell r="D44">
            <v>44663.2926344551</v>
          </cell>
          <cell r="E44">
            <v>121799.457365545</v>
          </cell>
          <cell r="F44">
            <v>18225255.3121973</v>
          </cell>
        </row>
        <row r="45">
          <cell r="A45">
            <v>35796</v>
          </cell>
          <cell r="B45">
            <v>18225255.3121973</v>
          </cell>
          <cell r="C45">
            <v>166462.75</v>
          </cell>
          <cell r="D45">
            <v>44961.0479186848</v>
          </cell>
          <cell r="E45">
            <v>121501.702081315</v>
          </cell>
          <cell r="F45">
            <v>18180294.2642786</v>
          </cell>
        </row>
        <row r="46">
          <cell r="A46">
            <v>35827</v>
          </cell>
          <cell r="B46">
            <v>18180294.2642786</v>
          </cell>
          <cell r="C46">
            <v>166462.75</v>
          </cell>
          <cell r="D46">
            <v>45260.7882381427</v>
          </cell>
          <cell r="E46">
            <v>121201.961761857</v>
          </cell>
          <cell r="F46">
            <v>18135033.4760404</v>
          </cell>
        </row>
        <row r="47">
          <cell r="A47">
            <v>35855</v>
          </cell>
          <cell r="B47">
            <v>18135033.4760404</v>
          </cell>
          <cell r="C47">
            <v>166462.75</v>
          </cell>
          <cell r="D47">
            <v>45562.526826397</v>
          </cell>
          <cell r="E47">
            <v>120900.223173603</v>
          </cell>
          <cell r="F47">
            <v>18089470.9492141</v>
          </cell>
        </row>
        <row r="48">
          <cell r="A48">
            <v>35886</v>
          </cell>
          <cell r="B48">
            <v>18089470.9492141</v>
          </cell>
          <cell r="C48">
            <v>166462.75</v>
          </cell>
          <cell r="D48">
            <v>45866.2770052396</v>
          </cell>
          <cell r="E48">
            <v>120596.47299476</v>
          </cell>
          <cell r="F48">
            <v>18043604.6722088</v>
          </cell>
        </row>
        <row r="49">
          <cell r="A49">
            <v>35916</v>
          </cell>
          <cell r="B49">
            <v>18043604.6722088</v>
          </cell>
          <cell r="C49">
            <v>166462.75</v>
          </cell>
          <cell r="D49">
            <v>46172.0521852746</v>
          </cell>
          <cell r="E49">
            <v>120290.697814725</v>
          </cell>
          <cell r="F49">
            <v>17997432.6200235</v>
          </cell>
        </row>
        <row r="50">
          <cell r="A50">
            <v>35947</v>
          </cell>
          <cell r="B50">
            <v>17997432.6200235</v>
          </cell>
          <cell r="C50">
            <v>166462.75</v>
          </cell>
          <cell r="D50">
            <v>46479.8658665097</v>
          </cell>
          <cell r="E50">
            <v>119982.88413349</v>
          </cell>
          <cell r="F50">
            <v>17950952.754157</v>
          </cell>
        </row>
        <row r="51">
          <cell r="A51">
            <v>35977</v>
          </cell>
          <cell r="B51">
            <v>17950952.754157</v>
          </cell>
          <cell r="C51">
            <v>166462.75</v>
          </cell>
          <cell r="D51">
            <v>46789.7316389531</v>
          </cell>
          <cell r="E51">
            <v>119673.018361047</v>
          </cell>
          <cell r="F51">
            <v>17904163.0225181</v>
          </cell>
        </row>
        <row r="52">
          <cell r="A52">
            <v>36008</v>
          </cell>
          <cell r="B52">
            <v>17904163.0225181</v>
          </cell>
          <cell r="C52">
            <v>166462.75</v>
          </cell>
          <cell r="D52">
            <v>47101.6631832128</v>
          </cell>
          <cell r="E52">
            <v>119361.086816787</v>
          </cell>
          <cell r="F52">
            <v>17857061.3593349</v>
          </cell>
        </row>
        <row r="53">
          <cell r="A53">
            <v>36039</v>
          </cell>
          <cell r="B53">
            <v>17857061.3593349</v>
          </cell>
          <cell r="C53">
            <v>166462.75</v>
          </cell>
          <cell r="D53">
            <v>47415.6742711009</v>
          </cell>
          <cell r="E53">
            <v>119047.075728899</v>
          </cell>
          <cell r="F53">
            <v>17809645.6850638</v>
          </cell>
        </row>
        <row r="54">
          <cell r="A54">
            <v>36069</v>
          </cell>
          <cell r="B54">
            <v>17809645.6850638</v>
          </cell>
          <cell r="C54">
            <v>166462.75</v>
          </cell>
          <cell r="D54">
            <v>47731.7787662416</v>
          </cell>
          <cell r="E54">
            <v>118730.971233758</v>
          </cell>
          <cell r="F54">
            <v>17761913.9062975</v>
          </cell>
        </row>
        <row r="55">
          <cell r="A55">
            <v>36100</v>
          </cell>
          <cell r="B55">
            <v>17761913.9062975</v>
          </cell>
          <cell r="C55">
            <v>166462.75</v>
          </cell>
          <cell r="D55">
            <v>48049.9906246832</v>
          </cell>
          <cell r="E55">
            <v>118412.759375317</v>
          </cell>
          <cell r="F55">
            <v>17713863.9156728</v>
          </cell>
        </row>
        <row r="56">
          <cell r="A56">
            <v>36130</v>
          </cell>
          <cell r="B56">
            <v>17713863.9156728</v>
          </cell>
          <cell r="C56">
            <v>166462.75</v>
          </cell>
          <cell r="D56">
            <v>48370.3238955144</v>
          </cell>
          <cell r="E56">
            <v>118092.426104486</v>
          </cell>
          <cell r="F56">
            <v>17665493.5917773</v>
          </cell>
        </row>
        <row r="57">
          <cell r="A57">
            <v>36161</v>
          </cell>
          <cell r="B57">
            <v>17665493.5917773</v>
          </cell>
          <cell r="C57">
            <v>166462.75</v>
          </cell>
          <cell r="D57">
            <v>48692.7927214845</v>
          </cell>
          <cell r="E57">
            <v>117769.957278516</v>
          </cell>
          <cell r="F57">
            <v>17616800.7990558</v>
          </cell>
        </row>
        <row r="58">
          <cell r="A58">
            <v>36192</v>
          </cell>
          <cell r="B58">
            <v>17616800.7990558</v>
          </cell>
          <cell r="C58">
            <v>166462.75</v>
          </cell>
          <cell r="D58">
            <v>49017.4113396277</v>
          </cell>
          <cell r="E58">
            <v>117445.338660372</v>
          </cell>
          <cell r="F58">
            <v>17567783.3877162</v>
          </cell>
        </row>
        <row r="59">
          <cell r="A59">
            <v>36220</v>
          </cell>
          <cell r="B59">
            <v>17567783.3877162</v>
          </cell>
          <cell r="C59">
            <v>166462.75</v>
          </cell>
          <cell r="D59">
            <v>49344.1940818919</v>
          </cell>
          <cell r="E59">
            <v>117118.555918108</v>
          </cell>
          <cell r="F59">
            <v>17518439.1936343</v>
          </cell>
        </row>
        <row r="60">
          <cell r="A60">
            <v>36251</v>
          </cell>
          <cell r="B60">
            <v>17518439.1936343</v>
          </cell>
          <cell r="C60">
            <v>166462.75</v>
          </cell>
          <cell r="D60">
            <v>49673.1553757712</v>
          </cell>
          <cell r="E60">
            <v>116789.594624229</v>
          </cell>
          <cell r="F60">
            <v>17468766.0382585</v>
          </cell>
        </row>
        <row r="61">
          <cell r="A61">
            <v>36281</v>
          </cell>
          <cell r="B61">
            <v>17468766.0382585</v>
          </cell>
          <cell r="C61">
            <v>166462.75</v>
          </cell>
          <cell r="D61">
            <v>50004.309744943</v>
          </cell>
          <cell r="E61">
            <v>116458.440255057</v>
          </cell>
          <cell r="F61">
            <v>17418761.7285136</v>
          </cell>
        </row>
        <row r="62">
          <cell r="A62">
            <v>36312</v>
          </cell>
          <cell r="B62">
            <v>17418761.7285136</v>
          </cell>
          <cell r="C62">
            <v>166462.75</v>
          </cell>
          <cell r="D62">
            <v>50337.6718099093</v>
          </cell>
          <cell r="E62">
            <v>116125.078190091</v>
          </cell>
          <cell r="F62">
            <v>17368424.0567037</v>
          </cell>
        </row>
        <row r="63">
          <cell r="A63">
            <v>36342</v>
          </cell>
          <cell r="B63">
            <v>17368424.0567037</v>
          </cell>
          <cell r="C63">
            <v>166462.75</v>
          </cell>
          <cell r="D63">
            <v>50673.256288642</v>
          </cell>
          <cell r="E63">
            <v>115789.493711358</v>
          </cell>
          <cell r="F63">
            <v>17317750.8004151</v>
          </cell>
        </row>
        <row r="64">
          <cell r="A64">
            <v>36373</v>
          </cell>
          <cell r="B64">
            <v>17317750.8004151</v>
          </cell>
          <cell r="C64">
            <v>166462.75</v>
          </cell>
          <cell r="D64">
            <v>51011.0779972329</v>
          </cell>
          <cell r="E64">
            <v>115451.672002767</v>
          </cell>
          <cell r="F64">
            <v>17266739.7224178</v>
          </cell>
        </row>
        <row r="65">
          <cell r="A65">
            <v>36404</v>
          </cell>
          <cell r="B65">
            <v>17266739.7224178</v>
          </cell>
          <cell r="C65">
            <v>166462.75</v>
          </cell>
          <cell r="D65">
            <v>51351.1518505478</v>
          </cell>
          <cell r="E65">
            <v>115111.598149452</v>
          </cell>
          <cell r="F65">
            <v>17215388.5705673</v>
          </cell>
        </row>
        <row r="66">
          <cell r="A66">
            <v>36434</v>
          </cell>
          <cell r="B66">
            <v>17215388.5705673</v>
          </cell>
          <cell r="C66">
            <v>166462.75</v>
          </cell>
          <cell r="D66">
            <v>51693.4928628848</v>
          </cell>
          <cell r="E66">
            <v>114769.257137115</v>
          </cell>
          <cell r="F66">
            <v>17163695.0777044</v>
          </cell>
        </row>
        <row r="67">
          <cell r="A67">
            <v>36465</v>
          </cell>
          <cell r="B67">
            <v>17163695.0777044</v>
          </cell>
          <cell r="C67">
            <v>166462.75</v>
          </cell>
          <cell r="D67">
            <v>52038.1161486374</v>
          </cell>
          <cell r="E67">
            <v>114424.633851363</v>
          </cell>
          <cell r="F67">
            <v>17111656.9615558</v>
          </cell>
        </row>
        <row r="68">
          <cell r="A68">
            <v>36495</v>
          </cell>
          <cell r="B68">
            <v>17111656.9615558</v>
          </cell>
          <cell r="C68">
            <v>166462.75</v>
          </cell>
          <cell r="D68">
            <v>52385.0369229616</v>
          </cell>
          <cell r="E68">
            <v>114077.713077038</v>
          </cell>
          <cell r="F68">
            <v>17059271.9246328</v>
          </cell>
        </row>
        <row r="69">
          <cell r="A69">
            <v>36526</v>
          </cell>
          <cell r="B69">
            <v>17059271.9246328</v>
          </cell>
          <cell r="C69">
            <v>166462.75</v>
          </cell>
          <cell r="D69">
            <v>52734.270502448</v>
          </cell>
          <cell r="E69">
            <v>113728.479497552</v>
          </cell>
          <cell r="F69">
            <v>17006537.6541303</v>
          </cell>
        </row>
        <row r="70">
          <cell r="A70">
            <v>36557</v>
          </cell>
          <cell r="B70">
            <v>17006537.6541303</v>
          </cell>
          <cell r="C70">
            <v>166462.75</v>
          </cell>
          <cell r="D70">
            <v>53085.8323057977</v>
          </cell>
          <cell r="E70">
            <v>113376.917694202</v>
          </cell>
          <cell r="F70">
            <v>16953451.8218246</v>
          </cell>
        </row>
        <row r="71">
          <cell r="A71">
            <v>36586</v>
          </cell>
          <cell r="B71">
            <v>16953451.8218246</v>
          </cell>
          <cell r="C71">
            <v>166462.75</v>
          </cell>
          <cell r="D71">
            <v>53439.737854503</v>
          </cell>
          <cell r="E71">
            <v>113023.012145497</v>
          </cell>
          <cell r="F71">
            <v>16900012.08397</v>
          </cell>
        </row>
        <row r="72">
          <cell r="A72">
            <v>36617</v>
          </cell>
          <cell r="B72">
            <v>16900012.08397</v>
          </cell>
          <cell r="C72">
            <v>166462.75</v>
          </cell>
          <cell r="D72">
            <v>53796.002773533</v>
          </cell>
          <cell r="E72">
            <v>112666.747226467</v>
          </cell>
          <cell r="F72">
            <v>16846216.0811965</v>
          </cell>
        </row>
        <row r="73">
          <cell r="A73">
            <v>36647</v>
          </cell>
          <cell r="B73">
            <v>16846216.0811965</v>
          </cell>
          <cell r="C73">
            <v>166462.75</v>
          </cell>
          <cell r="D73">
            <v>54154.6427920232</v>
          </cell>
          <cell r="E73">
            <v>112308.107207977</v>
          </cell>
          <cell r="F73">
            <v>16792061.4384045</v>
          </cell>
        </row>
        <row r="74">
          <cell r="A74">
            <v>36678</v>
          </cell>
          <cell r="B74">
            <v>16792061.4384045</v>
          </cell>
          <cell r="C74">
            <v>166462.75</v>
          </cell>
          <cell r="D74">
            <v>54515.6737439701</v>
          </cell>
          <cell r="E74">
            <v>111947.07625603</v>
          </cell>
          <cell r="F74">
            <v>16737545.7646605</v>
          </cell>
        </row>
        <row r="75">
          <cell r="A75">
            <v>36708</v>
          </cell>
          <cell r="B75">
            <v>16737545.7646605</v>
          </cell>
          <cell r="C75">
            <v>166462.75</v>
          </cell>
          <cell r="D75">
            <v>54879.1115689299</v>
          </cell>
          <cell r="E75">
            <v>111583.63843107</v>
          </cell>
          <cell r="F75">
            <v>16682666.6530916</v>
          </cell>
        </row>
        <row r="76">
          <cell r="A76">
            <v>36739</v>
          </cell>
          <cell r="B76">
            <v>16682666.6530916</v>
          </cell>
          <cell r="C76">
            <v>166462.75</v>
          </cell>
          <cell r="D76">
            <v>55244.9723127227</v>
          </cell>
          <cell r="E76">
            <v>111217.777687277</v>
          </cell>
          <cell r="F76">
            <v>16627421.6807789</v>
          </cell>
        </row>
        <row r="77">
          <cell r="A77">
            <v>36770</v>
          </cell>
          <cell r="B77">
            <v>16627421.6807789</v>
          </cell>
          <cell r="C77">
            <v>166462.75</v>
          </cell>
          <cell r="D77">
            <v>55613.2721281409</v>
          </cell>
          <cell r="E77">
            <v>110849.477871859</v>
          </cell>
          <cell r="F77">
            <v>16571808.4086507</v>
          </cell>
        </row>
        <row r="78">
          <cell r="A78">
            <v>36800</v>
          </cell>
          <cell r="B78">
            <v>16571808.4086507</v>
          </cell>
          <cell r="C78">
            <v>166462.75</v>
          </cell>
          <cell r="D78">
            <v>55984.0272756618</v>
          </cell>
          <cell r="E78">
            <v>110478.722724338</v>
          </cell>
          <cell r="F78">
            <v>16515824.3813751</v>
          </cell>
        </row>
        <row r="79">
          <cell r="A79">
            <v>36831</v>
          </cell>
          <cell r="B79">
            <v>16515824.3813751</v>
          </cell>
          <cell r="C79">
            <v>166462.75</v>
          </cell>
          <cell r="D79">
            <v>56357.2541241662</v>
          </cell>
          <cell r="E79">
            <v>110105.495875834</v>
          </cell>
          <cell r="F79">
            <v>16459467.1272509</v>
          </cell>
        </row>
        <row r="80">
          <cell r="A80">
            <v>36861</v>
          </cell>
          <cell r="B80">
            <v>16459467.1272509</v>
          </cell>
          <cell r="C80">
            <v>166462.75</v>
          </cell>
          <cell r="D80">
            <v>56732.9691516607</v>
          </cell>
          <cell r="E80">
            <v>109729.780848339</v>
          </cell>
          <cell r="F80">
            <v>16402734.1580992</v>
          </cell>
        </row>
        <row r="81">
          <cell r="A81">
            <v>36892</v>
          </cell>
          <cell r="B81">
            <v>16402734.1580992</v>
          </cell>
          <cell r="C81">
            <v>166462.75</v>
          </cell>
          <cell r="D81">
            <v>57111.1889460051</v>
          </cell>
          <cell r="E81">
            <v>109351.561053995</v>
          </cell>
          <cell r="F81">
            <v>16345622.9691532</v>
          </cell>
        </row>
        <row r="82">
          <cell r="A82">
            <v>36923</v>
          </cell>
          <cell r="B82">
            <v>16345622.9691532</v>
          </cell>
          <cell r="C82">
            <v>166462.75</v>
          </cell>
          <cell r="D82">
            <v>57491.9302056451</v>
          </cell>
          <cell r="E82">
            <v>108970.819794355</v>
          </cell>
          <cell r="F82">
            <v>16288131.0389476</v>
          </cell>
        </row>
        <row r="83">
          <cell r="A83">
            <v>36951</v>
          </cell>
          <cell r="B83">
            <v>16288131.0389476</v>
          </cell>
          <cell r="C83">
            <v>166462.75</v>
          </cell>
          <cell r="D83">
            <v>57875.2097403494</v>
          </cell>
          <cell r="E83">
            <v>108587.540259651</v>
          </cell>
          <cell r="F83">
            <v>16230255.8292072</v>
          </cell>
        </row>
        <row r="84">
          <cell r="A84">
            <v>36982</v>
          </cell>
          <cell r="B84">
            <v>16230255.8292072</v>
          </cell>
          <cell r="C84">
            <v>166462.75</v>
          </cell>
          <cell r="D84">
            <v>58261.0444719517</v>
          </cell>
          <cell r="E84">
            <v>108201.705528048</v>
          </cell>
          <cell r="F84">
            <v>16171994.7847353</v>
          </cell>
        </row>
        <row r="85">
          <cell r="A85">
            <v>37012</v>
          </cell>
          <cell r="B85">
            <v>16171994.7847353</v>
          </cell>
          <cell r="C85">
            <v>166462.75</v>
          </cell>
          <cell r="D85">
            <v>58649.4514350981</v>
          </cell>
          <cell r="E85">
            <v>107813.298564902</v>
          </cell>
          <cell r="F85">
            <v>16113345.3333002</v>
          </cell>
        </row>
        <row r="86">
          <cell r="A86">
            <v>37043</v>
          </cell>
          <cell r="B86">
            <v>16113345.3333002</v>
          </cell>
          <cell r="C86">
            <v>166462.75</v>
          </cell>
          <cell r="D86">
            <v>59040.4477779987</v>
          </cell>
          <cell r="E86">
            <v>107422.302222001</v>
          </cell>
          <cell r="F86">
            <v>16054304.8855222</v>
          </cell>
        </row>
        <row r="87">
          <cell r="A87">
            <v>37073</v>
          </cell>
          <cell r="B87">
            <v>16054304.8855222</v>
          </cell>
          <cell r="C87">
            <v>166462.75</v>
          </cell>
          <cell r="D87">
            <v>59434.0507631854</v>
          </cell>
          <cell r="E87">
            <v>107028.699236815</v>
          </cell>
          <cell r="F87">
            <v>15994870.834759</v>
          </cell>
        </row>
        <row r="88">
          <cell r="A88">
            <v>37104</v>
          </cell>
          <cell r="B88">
            <v>15994870.834759</v>
          </cell>
          <cell r="C88">
            <v>166462.75</v>
          </cell>
          <cell r="D88">
            <v>59830.2777682733</v>
          </cell>
          <cell r="E88">
            <v>106632.472231727</v>
          </cell>
          <cell r="F88">
            <v>15935040.5569907</v>
          </cell>
        </row>
        <row r="89">
          <cell r="A89">
            <v>37135</v>
          </cell>
          <cell r="B89">
            <v>15935040.5569907</v>
          </cell>
          <cell r="C89">
            <v>166462.75</v>
          </cell>
          <cell r="D89">
            <v>60229.1462867285</v>
          </cell>
          <cell r="E89">
            <v>106233.603713272</v>
          </cell>
          <cell r="F89">
            <v>15874811.410704</v>
          </cell>
        </row>
        <row r="90">
          <cell r="A90">
            <v>37165</v>
          </cell>
          <cell r="B90">
            <v>15874811.410704</v>
          </cell>
          <cell r="C90">
            <v>166462.75</v>
          </cell>
          <cell r="D90">
            <v>60630.67392864</v>
          </cell>
          <cell r="E90">
            <v>105832.07607136</v>
          </cell>
          <cell r="F90">
            <v>15814180.7367754</v>
          </cell>
        </row>
        <row r="91">
          <cell r="A91">
            <v>37196</v>
          </cell>
          <cell r="B91">
            <v>15814180.7367754</v>
          </cell>
          <cell r="C91">
            <v>166462.75</v>
          </cell>
          <cell r="D91">
            <v>61034.8784214976</v>
          </cell>
          <cell r="E91">
            <v>105427.871578502</v>
          </cell>
          <cell r="F91">
            <v>15753145.8583539</v>
          </cell>
        </row>
        <row r="92">
          <cell r="A92">
            <v>37226</v>
          </cell>
          <cell r="B92">
            <v>15753145.8583539</v>
          </cell>
          <cell r="C92">
            <v>166462.75</v>
          </cell>
          <cell r="D92">
            <v>61441.7776109742</v>
          </cell>
          <cell r="E92">
            <v>105020.972389026</v>
          </cell>
          <cell r="F92">
            <v>15691704.0807429</v>
          </cell>
        </row>
        <row r="93">
          <cell r="A93">
            <v>37257</v>
          </cell>
          <cell r="B93">
            <v>15691704.0807429</v>
          </cell>
          <cell r="C93">
            <v>166462.75</v>
          </cell>
          <cell r="D93">
            <v>61851.3894617141</v>
          </cell>
          <cell r="E93">
            <v>104611.360538286</v>
          </cell>
          <cell r="F93">
            <v>15629852.6912812</v>
          </cell>
        </row>
        <row r="94">
          <cell r="A94">
            <v>37288</v>
          </cell>
          <cell r="B94">
            <v>15629852.6912812</v>
          </cell>
          <cell r="C94">
            <v>166462.75</v>
          </cell>
          <cell r="D94">
            <v>62263.7320581255</v>
          </cell>
          <cell r="E94">
            <v>104199.017941874</v>
          </cell>
          <cell r="F94">
            <v>15567588.959223</v>
          </cell>
        </row>
        <row r="95">
          <cell r="A95">
            <v>37316</v>
          </cell>
          <cell r="B95">
            <v>15567588.959223</v>
          </cell>
          <cell r="C95">
            <v>166462.75</v>
          </cell>
          <cell r="D95">
            <v>62678.8236051797</v>
          </cell>
          <cell r="E95">
            <v>103783.92639482</v>
          </cell>
          <cell r="F95">
            <v>15504910.1356179</v>
          </cell>
        </row>
        <row r="96">
          <cell r="A96">
            <v>37347</v>
          </cell>
          <cell r="B96">
            <v>15504910.1356179</v>
          </cell>
          <cell r="C96">
            <v>166462.75</v>
          </cell>
          <cell r="D96">
            <v>63096.6824292142</v>
          </cell>
          <cell r="E96">
            <v>103366.067570786</v>
          </cell>
          <cell r="F96">
            <v>15441813.4531887</v>
          </cell>
        </row>
        <row r="97">
          <cell r="A97">
            <v>37377</v>
          </cell>
          <cell r="B97">
            <v>15441813.4531887</v>
          </cell>
          <cell r="C97">
            <v>166462.75</v>
          </cell>
          <cell r="D97">
            <v>63517.3269787423</v>
          </cell>
          <cell r="E97">
            <v>102945.423021258</v>
          </cell>
          <cell r="F97">
            <v>15378296.1262099</v>
          </cell>
        </row>
        <row r="98">
          <cell r="A98">
            <v>37408</v>
          </cell>
          <cell r="B98">
            <v>15378296.1262099</v>
          </cell>
          <cell r="C98">
            <v>166462.75</v>
          </cell>
          <cell r="D98">
            <v>63940.7758252673</v>
          </cell>
          <cell r="E98">
            <v>102521.974174733</v>
          </cell>
          <cell r="F98">
            <v>15314355.3503846</v>
          </cell>
        </row>
        <row r="99">
          <cell r="A99">
            <v>37438</v>
          </cell>
          <cell r="B99">
            <v>15314355.3503846</v>
          </cell>
          <cell r="C99">
            <v>166462.75</v>
          </cell>
          <cell r="D99">
            <v>64367.0476641024</v>
          </cell>
          <cell r="E99">
            <v>102095.702335898</v>
          </cell>
          <cell r="F99">
            <v>15249988.3027205</v>
          </cell>
        </row>
        <row r="100">
          <cell r="A100">
            <v>37469</v>
          </cell>
          <cell r="B100">
            <v>15249988.3027205</v>
          </cell>
          <cell r="C100">
            <v>166462.75</v>
          </cell>
          <cell r="D100">
            <v>64796.1613151964</v>
          </cell>
          <cell r="E100">
            <v>101666.588684804</v>
          </cell>
          <cell r="F100">
            <v>15185192.1414053</v>
          </cell>
        </row>
        <row r="101">
          <cell r="A101">
            <v>37500</v>
          </cell>
          <cell r="B101">
            <v>15185192.1414053</v>
          </cell>
          <cell r="C101">
            <v>166462.75</v>
          </cell>
          <cell r="D101">
            <v>65228.1357239644</v>
          </cell>
          <cell r="E101">
            <v>101234.614276036</v>
          </cell>
          <cell r="F101">
            <v>15119964.0056814</v>
          </cell>
        </row>
        <row r="102">
          <cell r="A102">
            <v>37530</v>
          </cell>
          <cell r="B102">
            <v>15119964.0056814</v>
          </cell>
          <cell r="C102">
            <v>166462.75</v>
          </cell>
          <cell r="D102">
            <v>65662.9899621241</v>
          </cell>
          <cell r="E102">
            <v>100799.760037876</v>
          </cell>
          <cell r="F102">
            <v>15054301.0157193</v>
          </cell>
        </row>
        <row r="103">
          <cell r="A103">
            <v>37561</v>
          </cell>
          <cell r="B103">
            <v>15054301.0157193</v>
          </cell>
          <cell r="C103">
            <v>166462.75</v>
          </cell>
          <cell r="D103">
            <v>66100.7432285383</v>
          </cell>
          <cell r="E103">
            <v>100362.006771462</v>
          </cell>
          <cell r="F103">
            <v>14988200.2724907</v>
          </cell>
        </row>
        <row r="104">
          <cell r="A104">
            <v>37591</v>
          </cell>
          <cell r="B104">
            <v>14988200.2724907</v>
          </cell>
          <cell r="C104">
            <v>166462.75</v>
          </cell>
          <cell r="D104">
            <v>66541.4148500619</v>
          </cell>
          <cell r="E104">
            <v>99921.3351499381</v>
          </cell>
          <cell r="F104">
            <v>14921658.8576407</v>
          </cell>
        </row>
        <row r="105">
          <cell r="A105">
            <v>37622</v>
          </cell>
          <cell r="B105">
            <v>14921658.8576407</v>
          </cell>
          <cell r="C105">
            <v>166462.75</v>
          </cell>
          <cell r="D105">
            <v>66985.0242823956</v>
          </cell>
          <cell r="E105">
            <v>99477.7257176044</v>
          </cell>
          <cell r="F105">
            <v>14854673.8333583</v>
          </cell>
        </row>
        <row r="106">
          <cell r="A106">
            <v>37653</v>
          </cell>
          <cell r="B106">
            <v>14854673.8333583</v>
          </cell>
          <cell r="C106">
            <v>166462.75</v>
          </cell>
          <cell r="D106">
            <v>67431.5911109449</v>
          </cell>
          <cell r="E106">
            <v>99031.1588890551</v>
          </cell>
          <cell r="F106">
            <v>14787242.2422473</v>
          </cell>
        </row>
        <row r="107">
          <cell r="A107">
            <v>37681</v>
          </cell>
          <cell r="B107">
            <v>14787242.2422473</v>
          </cell>
          <cell r="C107">
            <v>166462.75</v>
          </cell>
          <cell r="D107">
            <v>67881.1350516846</v>
          </cell>
          <cell r="E107">
            <v>98581.6149483154</v>
          </cell>
          <cell r="F107">
            <v>14719361.1071956</v>
          </cell>
        </row>
        <row r="108">
          <cell r="A108">
            <v>37712</v>
          </cell>
          <cell r="B108">
            <v>14719361.1071956</v>
          </cell>
          <cell r="C108">
            <v>166462.75</v>
          </cell>
          <cell r="D108">
            <v>68333.6759520291</v>
          </cell>
          <cell r="E108">
            <v>98129.0740479709</v>
          </cell>
          <cell r="F108">
            <v>14651027.4312436</v>
          </cell>
        </row>
        <row r="109">
          <cell r="A109">
            <v>37742</v>
          </cell>
          <cell r="B109">
            <v>14651027.4312436</v>
          </cell>
          <cell r="C109">
            <v>166462.75</v>
          </cell>
          <cell r="D109">
            <v>68789.2337917093</v>
          </cell>
          <cell r="E109">
            <v>97673.5162082907</v>
          </cell>
          <cell r="F109">
            <v>14582238.1974519</v>
          </cell>
        </row>
        <row r="110">
          <cell r="A110">
            <v>37773</v>
          </cell>
          <cell r="B110">
            <v>14582238.1974519</v>
          </cell>
          <cell r="C110">
            <v>166462.75</v>
          </cell>
          <cell r="D110">
            <v>69247.828683654</v>
          </cell>
          <cell r="E110">
            <v>97214.921316346</v>
          </cell>
          <cell r="F110">
            <v>14512990.3687682</v>
          </cell>
        </row>
        <row r="111">
          <cell r="A111">
            <v>37803</v>
          </cell>
          <cell r="B111">
            <v>14512990.3687682</v>
          </cell>
          <cell r="C111">
            <v>166462.75</v>
          </cell>
          <cell r="D111">
            <v>69709.4808748784</v>
          </cell>
          <cell r="E111">
            <v>96753.2691251216</v>
          </cell>
          <cell r="F111">
            <v>14443280.8878934</v>
          </cell>
        </row>
        <row r="112">
          <cell r="A112">
            <v>37834</v>
          </cell>
          <cell r="B112">
            <v>14443280.8878934</v>
          </cell>
          <cell r="C112">
            <v>166462.75</v>
          </cell>
          <cell r="D112">
            <v>70174.2107473776</v>
          </cell>
          <cell r="E112">
            <v>96288.5392526224</v>
          </cell>
          <cell r="F112">
            <v>14373106.677146</v>
          </cell>
        </row>
        <row r="113">
          <cell r="A113">
            <v>37865</v>
          </cell>
          <cell r="B113">
            <v>14373106.677146</v>
          </cell>
          <cell r="C113">
            <v>166462.75</v>
          </cell>
          <cell r="D113">
            <v>70642.0388190268</v>
          </cell>
          <cell r="E113">
            <v>95820.7111809732</v>
          </cell>
          <cell r="F113">
            <v>14302464.638327</v>
          </cell>
        </row>
        <row r="114">
          <cell r="A114">
            <v>37895</v>
          </cell>
          <cell r="B114">
            <v>14302464.638327</v>
          </cell>
          <cell r="C114">
            <v>166462.75</v>
          </cell>
          <cell r="D114">
            <v>71112.985744487</v>
          </cell>
          <cell r="E114">
            <v>95349.764255513</v>
          </cell>
          <cell r="F114">
            <v>14231351.6525825</v>
          </cell>
        </row>
        <row r="115">
          <cell r="A115">
            <v>37926</v>
          </cell>
          <cell r="B115">
            <v>14231351.6525825</v>
          </cell>
          <cell r="C115">
            <v>166462.75</v>
          </cell>
          <cell r="D115">
            <v>71587.0723161169</v>
          </cell>
          <cell r="E115">
            <v>94875.6776838831</v>
          </cell>
          <cell r="F115">
            <v>14159764.5802664</v>
          </cell>
        </row>
        <row r="116">
          <cell r="A116">
            <v>37956</v>
          </cell>
          <cell r="B116">
            <v>14159764.5802664</v>
          </cell>
          <cell r="C116">
            <v>166462.75</v>
          </cell>
          <cell r="D116">
            <v>72064.319464891</v>
          </cell>
          <cell r="E116">
            <v>94398.430535109</v>
          </cell>
          <cell r="F116">
            <v>14087700.2608015</v>
          </cell>
        </row>
        <row r="117">
          <cell r="A117">
            <v>37987</v>
          </cell>
          <cell r="B117">
            <v>14087700.2608015</v>
          </cell>
          <cell r="C117">
            <v>166462.75</v>
          </cell>
          <cell r="D117">
            <v>72544.7482613236</v>
          </cell>
          <cell r="E117">
            <v>93918.0017386764</v>
          </cell>
          <cell r="F117">
            <v>14015155.5125401</v>
          </cell>
        </row>
        <row r="118">
          <cell r="A118">
            <v>38018</v>
          </cell>
          <cell r="B118">
            <v>14015155.5125401</v>
          </cell>
          <cell r="C118">
            <v>166462.75</v>
          </cell>
          <cell r="D118">
            <v>73028.3799163991</v>
          </cell>
          <cell r="E118">
            <v>93434.3700836009</v>
          </cell>
          <cell r="F118">
            <v>13942127.1326237</v>
          </cell>
        </row>
        <row r="119">
          <cell r="A119">
            <v>38047</v>
          </cell>
          <cell r="B119">
            <v>13942127.1326237</v>
          </cell>
          <cell r="C119">
            <v>166462.75</v>
          </cell>
          <cell r="D119">
            <v>73515.2357825084</v>
          </cell>
          <cell r="E119">
            <v>92947.5142174916</v>
          </cell>
          <cell r="F119">
            <v>13868611.8968412</v>
          </cell>
        </row>
        <row r="120">
          <cell r="A120">
            <v>38078</v>
          </cell>
          <cell r="B120">
            <v>13868611.8968412</v>
          </cell>
          <cell r="C120">
            <v>166462.75</v>
          </cell>
          <cell r="D120">
            <v>74005.3373543918</v>
          </cell>
          <cell r="E120">
            <v>92457.4126456082</v>
          </cell>
          <cell r="F120">
            <v>13794606.5594868</v>
          </cell>
        </row>
        <row r="121">
          <cell r="A121">
            <v>38108</v>
          </cell>
          <cell r="B121">
            <v>13794606.5594868</v>
          </cell>
          <cell r="C121">
            <v>166462.75</v>
          </cell>
          <cell r="D121">
            <v>74498.7062700877</v>
          </cell>
          <cell r="E121">
            <v>91964.0437299123</v>
          </cell>
          <cell r="F121">
            <v>13720107.8532168</v>
          </cell>
        </row>
        <row r="122">
          <cell r="A122">
            <v>38139</v>
          </cell>
          <cell r="B122">
            <v>13720107.8532168</v>
          </cell>
          <cell r="C122">
            <v>166462.75</v>
          </cell>
          <cell r="D122">
            <v>74995.3643118883</v>
          </cell>
          <cell r="E122">
            <v>91467.3856881117</v>
          </cell>
          <cell r="F122">
            <v>13645112.4889049</v>
          </cell>
        </row>
        <row r="123">
          <cell r="A123">
            <v>38169</v>
          </cell>
          <cell r="B123">
            <v>13645112.4889049</v>
          </cell>
          <cell r="C123">
            <v>166462.75</v>
          </cell>
          <cell r="D123">
            <v>75495.3334073009</v>
          </cell>
          <cell r="E123">
            <v>90967.4165926991</v>
          </cell>
          <cell r="F123">
            <v>13569617.1554976</v>
          </cell>
        </row>
        <row r="124">
          <cell r="A124">
            <v>38200</v>
          </cell>
          <cell r="B124">
            <v>13569617.1554976</v>
          </cell>
          <cell r="C124">
            <v>166462.75</v>
          </cell>
          <cell r="D124">
            <v>75998.6356300163</v>
          </cell>
          <cell r="E124">
            <v>90464.1143699837</v>
          </cell>
          <cell r="F124">
            <v>13493618.5198675</v>
          </cell>
        </row>
        <row r="125">
          <cell r="A125">
            <v>38231</v>
          </cell>
          <cell r="B125">
            <v>13493618.5198675</v>
          </cell>
          <cell r="C125">
            <v>166462.75</v>
          </cell>
          <cell r="D125">
            <v>76505.293200883</v>
          </cell>
          <cell r="E125">
            <v>89957.456799117</v>
          </cell>
          <cell r="F125">
            <v>13417113.2266667</v>
          </cell>
        </row>
        <row r="126">
          <cell r="A126">
            <v>38261</v>
          </cell>
          <cell r="B126">
            <v>13417113.2266667</v>
          </cell>
          <cell r="C126">
            <v>166462.75</v>
          </cell>
          <cell r="D126">
            <v>77015.3284888889</v>
          </cell>
          <cell r="E126">
            <v>89447.4215111111</v>
          </cell>
          <cell r="F126">
            <v>13340097.8981778</v>
          </cell>
        </row>
        <row r="127">
          <cell r="A127">
            <v>38292</v>
          </cell>
          <cell r="B127">
            <v>13340097.8981778</v>
          </cell>
          <cell r="C127">
            <v>166462.75</v>
          </cell>
          <cell r="D127">
            <v>77528.7640121482</v>
          </cell>
          <cell r="E127">
            <v>88933.9859878518</v>
          </cell>
          <cell r="F127">
            <v>13262569.1341656</v>
          </cell>
        </row>
        <row r="128">
          <cell r="A128">
            <v>38322</v>
          </cell>
          <cell r="B128">
            <v>13262569.1341656</v>
          </cell>
          <cell r="C128">
            <v>166462.75</v>
          </cell>
          <cell r="D128">
            <v>78045.6224388958</v>
          </cell>
          <cell r="E128">
            <v>88417.1275611042</v>
          </cell>
          <cell r="F128">
            <v>13184523.5117267</v>
          </cell>
        </row>
        <row r="129">
          <cell r="A129">
            <v>38353</v>
          </cell>
          <cell r="B129">
            <v>13184523.5117267</v>
          </cell>
          <cell r="C129">
            <v>166462.75</v>
          </cell>
          <cell r="D129">
            <v>78565.9265884885</v>
          </cell>
          <cell r="E129">
            <v>87896.8234115115</v>
          </cell>
          <cell r="F129">
            <v>13105957.5851382</v>
          </cell>
        </row>
        <row r="130">
          <cell r="A130">
            <v>38384</v>
          </cell>
          <cell r="B130">
            <v>13105957.5851382</v>
          </cell>
          <cell r="C130">
            <v>166462.75</v>
          </cell>
          <cell r="D130">
            <v>79089.6994324117</v>
          </cell>
          <cell r="E130">
            <v>87373.0505675883</v>
          </cell>
          <cell r="F130">
            <v>13026867.8857058</v>
          </cell>
        </row>
        <row r="131">
          <cell r="A131">
            <v>38412</v>
          </cell>
          <cell r="B131">
            <v>13026867.8857058</v>
          </cell>
          <cell r="C131">
            <v>166462.75</v>
          </cell>
          <cell r="D131">
            <v>79616.9640952945</v>
          </cell>
          <cell r="E131">
            <v>86845.7859047055</v>
          </cell>
          <cell r="F131">
            <v>12947250.9216105</v>
          </cell>
        </row>
        <row r="132">
          <cell r="A132">
            <v>38443</v>
          </cell>
          <cell r="B132">
            <v>12947250.9216105</v>
          </cell>
          <cell r="C132">
            <v>166462.75</v>
          </cell>
          <cell r="D132">
            <v>80147.7438559298</v>
          </cell>
          <cell r="E132">
            <v>86315.0061440702</v>
          </cell>
          <cell r="F132">
            <v>12867103.1777546</v>
          </cell>
        </row>
        <row r="133">
          <cell r="A133">
            <v>38473</v>
          </cell>
          <cell r="B133">
            <v>12867103.1777546</v>
          </cell>
          <cell r="C133">
            <v>166462.75</v>
          </cell>
          <cell r="D133">
            <v>80682.0621483026</v>
          </cell>
          <cell r="E133">
            <v>85780.6878516974</v>
          </cell>
          <cell r="F133">
            <v>12786421.1156063</v>
          </cell>
        </row>
        <row r="134">
          <cell r="A134">
            <v>38504</v>
          </cell>
          <cell r="B134">
            <v>12786421.1156063</v>
          </cell>
          <cell r="C134">
            <v>166462.75</v>
          </cell>
          <cell r="D134">
            <v>81219.9425626247</v>
          </cell>
          <cell r="E134">
            <v>85242.8074373753</v>
          </cell>
          <cell r="F134">
            <v>12705201.1730437</v>
          </cell>
        </row>
        <row r="135">
          <cell r="A135">
            <v>38534</v>
          </cell>
          <cell r="B135">
            <v>12705201.1730437</v>
          </cell>
          <cell r="C135">
            <v>166462.75</v>
          </cell>
          <cell r="D135">
            <v>81761.4088463755</v>
          </cell>
          <cell r="E135">
            <v>84701.3411536245</v>
          </cell>
          <cell r="F135">
            <v>12623439.7641973</v>
          </cell>
        </row>
        <row r="136">
          <cell r="A136">
            <v>38565</v>
          </cell>
          <cell r="B136">
            <v>12623439.7641973</v>
          </cell>
          <cell r="C136">
            <v>166462.75</v>
          </cell>
          <cell r="D136">
            <v>82306.4849053513</v>
          </cell>
          <cell r="E136">
            <v>84156.2650946487</v>
          </cell>
          <cell r="F136">
            <v>12541133.279292</v>
          </cell>
        </row>
        <row r="137">
          <cell r="A137">
            <v>38596</v>
          </cell>
          <cell r="B137">
            <v>12541133.279292</v>
          </cell>
          <cell r="C137">
            <v>166462.75</v>
          </cell>
          <cell r="D137">
            <v>82855.1948047203</v>
          </cell>
          <cell r="E137">
            <v>83607.5551952797</v>
          </cell>
          <cell r="F137">
            <v>12458278.0844872</v>
          </cell>
        </row>
        <row r="138">
          <cell r="A138">
            <v>38626</v>
          </cell>
          <cell r="B138">
            <v>12458278.0844872</v>
          </cell>
          <cell r="C138">
            <v>166462.75</v>
          </cell>
          <cell r="D138">
            <v>83407.5627700851</v>
          </cell>
          <cell r="E138">
            <v>83055.1872299149</v>
          </cell>
          <cell r="F138">
            <v>12374870.5217171</v>
          </cell>
        </row>
        <row r="139">
          <cell r="A139">
            <v>38657</v>
          </cell>
          <cell r="B139">
            <v>12374870.5217171</v>
          </cell>
          <cell r="C139">
            <v>166462.75</v>
          </cell>
          <cell r="D139">
            <v>83963.6131885524</v>
          </cell>
          <cell r="E139">
            <v>82499.1368114476</v>
          </cell>
          <cell r="F139">
            <v>12290906.9085286</v>
          </cell>
        </row>
        <row r="140">
          <cell r="A140">
            <v>38687</v>
          </cell>
          <cell r="B140">
            <v>12290906.9085286</v>
          </cell>
          <cell r="C140">
            <v>166462.75</v>
          </cell>
          <cell r="D140">
            <v>84523.3706098094</v>
          </cell>
          <cell r="E140">
            <v>81939.3793901906</v>
          </cell>
          <cell r="F140">
            <v>12206383.5379188</v>
          </cell>
        </row>
        <row r="141">
          <cell r="A141">
            <v>38718</v>
          </cell>
          <cell r="B141">
            <v>12206383.5379188</v>
          </cell>
          <cell r="C141">
            <v>166462.75</v>
          </cell>
          <cell r="D141">
            <v>85086.8597472081</v>
          </cell>
          <cell r="E141">
            <v>81375.8902527919</v>
          </cell>
          <cell r="F141">
            <v>12121296.6781716</v>
          </cell>
        </row>
        <row r="142">
          <cell r="A142">
            <v>38749</v>
          </cell>
          <cell r="B142">
            <v>12121296.6781716</v>
          </cell>
          <cell r="C142">
            <v>166462.75</v>
          </cell>
          <cell r="D142">
            <v>85654.1054788562</v>
          </cell>
          <cell r="E142">
            <v>80808.6445211438</v>
          </cell>
          <cell r="F142">
            <v>12035642.5726927</v>
          </cell>
        </row>
        <row r="143">
          <cell r="A143">
            <v>38777</v>
          </cell>
          <cell r="B143">
            <v>12035642.5726927</v>
          </cell>
          <cell r="C143">
            <v>166462.75</v>
          </cell>
          <cell r="D143">
            <v>86225.1328487152</v>
          </cell>
          <cell r="E143">
            <v>80237.6171512848</v>
          </cell>
          <cell r="F143">
            <v>11949417.439844</v>
          </cell>
        </row>
        <row r="144">
          <cell r="A144">
            <v>38808</v>
          </cell>
          <cell r="B144">
            <v>11949417.439844</v>
          </cell>
          <cell r="C144">
            <v>166462.75</v>
          </cell>
          <cell r="D144">
            <v>86799.9670677066</v>
          </cell>
          <cell r="E144">
            <v>79662.7829322934</v>
          </cell>
          <cell r="F144">
            <v>11862617.4727763</v>
          </cell>
        </row>
        <row r="145">
          <cell r="A145">
            <v>38838</v>
          </cell>
          <cell r="B145">
            <v>11862617.4727763</v>
          </cell>
          <cell r="C145">
            <v>166462.75</v>
          </cell>
          <cell r="D145">
            <v>87378.6335148247</v>
          </cell>
          <cell r="E145">
            <v>79084.1164851753</v>
          </cell>
          <cell r="F145">
            <v>11775238.8392615</v>
          </cell>
        </row>
        <row r="146">
          <cell r="A146">
            <v>38869</v>
          </cell>
          <cell r="B146">
            <v>11775238.8392615</v>
          </cell>
          <cell r="C146">
            <v>166462.75</v>
          </cell>
          <cell r="D146">
            <v>87961.1577382569</v>
          </cell>
          <cell r="E146">
            <v>78501.5922617431</v>
          </cell>
          <cell r="F146">
            <v>11687277.6815232</v>
          </cell>
        </row>
        <row r="147">
          <cell r="A147">
            <v>38899</v>
          </cell>
          <cell r="B147">
            <v>11687277.6815232</v>
          </cell>
          <cell r="C147">
            <v>166462.75</v>
          </cell>
          <cell r="D147">
            <v>88547.5654565119</v>
          </cell>
          <cell r="E147">
            <v>77915.1845434881</v>
          </cell>
          <cell r="F147">
            <v>11598730.1160667</v>
          </cell>
        </row>
        <row r="148">
          <cell r="A148">
            <v>38930</v>
          </cell>
          <cell r="B148">
            <v>11598730.1160667</v>
          </cell>
          <cell r="C148">
            <v>166462.75</v>
          </cell>
          <cell r="D148">
            <v>89137.8825595553</v>
          </cell>
          <cell r="E148">
            <v>77324.8674404447</v>
          </cell>
          <cell r="F148">
            <v>11509592.2335071</v>
          </cell>
        </row>
        <row r="149">
          <cell r="A149">
            <v>38961</v>
          </cell>
          <cell r="B149">
            <v>11509592.2335071</v>
          </cell>
          <cell r="C149">
            <v>166462.75</v>
          </cell>
          <cell r="D149">
            <v>89732.1351099523</v>
          </cell>
          <cell r="E149">
            <v>76730.6148900477</v>
          </cell>
          <cell r="F149">
            <v>11419860.0983972</v>
          </cell>
        </row>
        <row r="150">
          <cell r="A150">
            <v>38991</v>
          </cell>
          <cell r="B150">
            <v>11419860.0983972</v>
          </cell>
          <cell r="C150">
            <v>166462.75</v>
          </cell>
          <cell r="D150">
            <v>90330.3493440187</v>
          </cell>
          <cell r="E150">
            <v>76132.4006559813</v>
          </cell>
          <cell r="F150">
            <v>11329529.7490532</v>
          </cell>
        </row>
        <row r="151">
          <cell r="A151">
            <v>39022</v>
          </cell>
          <cell r="B151">
            <v>11329529.7490532</v>
          </cell>
          <cell r="C151">
            <v>166462.75</v>
          </cell>
          <cell r="D151">
            <v>90932.5516729788</v>
          </cell>
          <cell r="E151">
            <v>75530.1983270212</v>
          </cell>
          <cell r="F151">
            <v>11238597.1973802</v>
          </cell>
        </row>
        <row r="152">
          <cell r="A152">
            <v>39052</v>
          </cell>
          <cell r="B152">
            <v>11238597.1973802</v>
          </cell>
          <cell r="C152">
            <v>166462.75</v>
          </cell>
          <cell r="D152">
            <v>91538.768684132</v>
          </cell>
          <cell r="E152">
            <v>74923.981315868</v>
          </cell>
          <cell r="F152">
            <v>11147058.4286961</v>
          </cell>
        </row>
        <row r="153">
          <cell r="A153">
            <v>39083</v>
          </cell>
          <cell r="B153">
            <v>11147058.4286961</v>
          </cell>
          <cell r="C153">
            <v>166462.75</v>
          </cell>
          <cell r="D153">
            <v>92149.0271420262</v>
          </cell>
          <cell r="E153">
            <v>74313.7228579738</v>
          </cell>
          <cell r="F153">
            <v>11054909.401554</v>
          </cell>
        </row>
        <row r="154">
          <cell r="A154">
            <v>39114</v>
          </cell>
          <cell r="B154">
            <v>11054909.401554</v>
          </cell>
          <cell r="C154">
            <v>166462.75</v>
          </cell>
          <cell r="D154">
            <v>92763.3539896397</v>
          </cell>
          <cell r="E154">
            <v>73699.3960103603</v>
          </cell>
          <cell r="F154">
            <v>10962146.0475644</v>
          </cell>
        </row>
        <row r="155">
          <cell r="A155">
            <v>39142</v>
          </cell>
          <cell r="B155">
            <v>10962146.0475644</v>
          </cell>
          <cell r="C155">
            <v>166462.75</v>
          </cell>
          <cell r="D155">
            <v>93381.7763495707</v>
          </cell>
          <cell r="E155">
            <v>73080.9736504293</v>
          </cell>
          <cell r="F155">
            <v>10868764.2712148</v>
          </cell>
        </row>
        <row r="156">
          <cell r="A156">
            <v>39173</v>
          </cell>
          <cell r="B156">
            <v>10868764.2712148</v>
          </cell>
          <cell r="C156">
            <v>166462.75</v>
          </cell>
          <cell r="D156">
            <v>94004.3215252345</v>
          </cell>
          <cell r="E156">
            <v>72458.4284747655</v>
          </cell>
          <cell r="F156">
            <v>10774759.9496896</v>
          </cell>
        </row>
        <row r="157">
          <cell r="A157">
            <v>39203</v>
          </cell>
          <cell r="B157">
            <v>10774759.9496896</v>
          </cell>
          <cell r="C157">
            <v>166462.75</v>
          </cell>
          <cell r="D157">
            <v>94631.0170020694</v>
          </cell>
          <cell r="E157">
            <v>71831.7329979306</v>
          </cell>
          <cell r="F157">
            <v>10680128.9326875</v>
          </cell>
        </row>
        <row r="158">
          <cell r="A158">
            <v>39234</v>
          </cell>
          <cell r="B158">
            <v>10680128.9326875</v>
          </cell>
          <cell r="C158">
            <v>166462.75</v>
          </cell>
          <cell r="D158">
            <v>95261.8904487498</v>
          </cell>
          <cell r="E158">
            <v>71200.8595512502</v>
          </cell>
          <cell r="F158">
            <v>10584867.0422388</v>
          </cell>
        </row>
        <row r="159">
          <cell r="A159">
            <v>39264</v>
          </cell>
          <cell r="B159">
            <v>10584867.0422388</v>
          </cell>
          <cell r="C159">
            <v>166462.75</v>
          </cell>
          <cell r="D159">
            <v>95896.9697184081</v>
          </cell>
          <cell r="E159">
            <v>70565.7802815919</v>
          </cell>
          <cell r="F159">
            <v>10488970.0725204</v>
          </cell>
        </row>
        <row r="160">
          <cell r="A160">
            <v>39295</v>
          </cell>
          <cell r="B160">
            <v>10488970.0725204</v>
          </cell>
          <cell r="C160">
            <v>166462.75</v>
          </cell>
          <cell r="D160">
            <v>96536.2828498642</v>
          </cell>
          <cell r="E160">
            <v>69926.4671501358</v>
          </cell>
          <cell r="F160">
            <v>10392433.7896705</v>
          </cell>
        </row>
        <row r="161">
          <cell r="A161">
            <v>39326</v>
          </cell>
          <cell r="B161">
            <v>10392433.7896705</v>
          </cell>
          <cell r="C161">
            <v>166462.75</v>
          </cell>
          <cell r="D161">
            <v>97179.8580688633</v>
          </cell>
          <cell r="E161">
            <v>69282.8919311367</v>
          </cell>
          <cell r="F161">
            <v>10295253.9316016</v>
          </cell>
        </row>
        <row r="162">
          <cell r="A162">
            <v>39356</v>
          </cell>
          <cell r="B162">
            <v>10295253.9316016</v>
          </cell>
          <cell r="C162">
            <v>166462.75</v>
          </cell>
          <cell r="D162">
            <v>97827.7237893224</v>
          </cell>
          <cell r="E162">
            <v>68635.0262106776</v>
          </cell>
          <cell r="F162">
            <v>10197426.2078123</v>
          </cell>
        </row>
        <row r="163">
          <cell r="A163">
            <v>39387</v>
          </cell>
          <cell r="B163">
            <v>10197426.2078123</v>
          </cell>
          <cell r="C163">
            <v>166462.75</v>
          </cell>
          <cell r="D163">
            <v>98479.9086145845</v>
          </cell>
          <cell r="E163">
            <v>67982.8413854155</v>
          </cell>
          <cell r="F163">
            <v>10098946.2991977</v>
          </cell>
        </row>
        <row r="164">
          <cell r="A164">
            <v>39417</v>
          </cell>
          <cell r="B164">
            <v>10098946.2991977</v>
          </cell>
          <cell r="C164">
            <v>166462.75</v>
          </cell>
          <cell r="D164">
            <v>99136.4413386818</v>
          </cell>
          <cell r="E164">
            <v>67326.3086613182</v>
          </cell>
          <cell r="F164">
            <v>9999809.85785905</v>
          </cell>
        </row>
        <row r="165">
          <cell r="A165">
            <v>39448</v>
          </cell>
          <cell r="B165">
            <v>9999809.85785905</v>
          </cell>
          <cell r="C165">
            <v>166462.75</v>
          </cell>
          <cell r="D165">
            <v>99797.3509476063</v>
          </cell>
          <cell r="E165">
            <v>66665.3990523937</v>
          </cell>
          <cell r="F165">
            <v>9900012.50691145</v>
          </cell>
        </row>
        <row r="166">
          <cell r="A166">
            <v>39479</v>
          </cell>
          <cell r="B166">
            <v>9900012.50691145</v>
          </cell>
          <cell r="C166">
            <v>166462.75</v>
          </cell>
          <cell r="D166">
            <v>100462.66662059</v>
          </cell>
          <cell r="E166">
            <v>66000.0833794096</v>
          </cell>
          <cell r="F166">
            <v>9799549.84029086</v>
          </cell>
        </row>
        <row r="167">
          <cell r="A167">
            <v>39508</v>
          </cell>
          <cell r="B167">
            <v>9799549.84029086</v>
          </cell>
          <cell r="C167">
            <v>166462.75</v>
          </cell>
          <cell r="D167">
            <v>101132.417731394</v>
          </cell>
          <cell r="E167">
            <v>65330.3322686057</v>
          </cell>
          <cell r="F167">
            <v>9698417.42255946</v>
          </cell>
        </row>
        <row r="168">
          <cell r="A168">
            <v>39539</v>
          </cell>
          <cell r="B168">
            <v>9698417.42255946</v>
          </cell>
          <cell r="C168">
            <v>166462.75</v>
          </cell>
          <cell r="D168">
            <v>101806.633849604</v>
          </cell>
          <cell r="E168">
            <v>64656.1161503964</v>
          </cell>
          <cell r="F168">
            <v>9596610.78870986</v>
          </cell>
        </row>
        <row r="169">
          <cell r="A169">
            <v>39569</v>
          </cell>
          <cell r="B169">
            <v>9596610.78870986</v>
          </cell>
          <cell r="C169">
            <v>166462.75</v>
          </cell>
          <cell r="D169">
            <v>102485.344741934</v>
          </cell>
          <cell r="E169">
            <v>63977.4052580657</v>
          </cell>
          <cell r="F169">
            <v>9494125.44396792</v>
          </cell>
        </row>
        <row r="170">
          <cell r="A170">
            <v>39600</v>
          </cell>
          <cell r="B170">
            <v>9494125.44396792</v>
          </cell>
          <cell r="C170">
            <v>166462.75</v>
          </cell>
          <cell r="D170">
            <v>103168.580373547</v>
          </cell>
          <cell r="E170">
            <v>63294.1696264528</v>
          </cell>
          <cell r="F170">
            <v>9390956.86359437</v>
          </cell>
        </row>
        <row r="171">
          <cell r="A171">
            <v>39630</v>
          </cell>
          <cell r="B171">
            <v>9390956.86359437</v>
          </cell>
          <cell r="C171">
            <v>166462.75</v>
          </cell>
          <cell r="D171">
            <v>103856.370909371</v>
          </cell>
          <cell r="E171">
            <v>62606.3790906292</v>
          </cell>
          <cell r="F171">
            <v>9287100.492685</v>
          </cell>
        </row>
        <row r="172">
          <cell r="A172">
            <v>39661</v>
          </cell>
          <cell r="B172">
            <v>9287100.492685</v>
          </cell>
          <cell r="C172">
            <v>166462.75</v>
          </cell>
          <cell r="D172">
            <v>104548.746715433</v>
          </cell>
          <cell r="E172">
            <v>61914.0032845667</v>
          </cell>
          <cell r="F172">
            <v>9182551.74596957</v>
          </cell>
        </row>
        <row r="173">
          <cell r="A173">
            <v>39692</v>
          </cell>
          <cell r="B173">
            <v>9182551.74596957</v>
          </cell>
          <cell r="C173">
            <v>166462.75</v>
          </cell>
          <cell r="D173">
            <v>105245.738360203</v>
          </cell>
          <cell r="E173">
            <v>61217.0116397971</v>
          </cell>
          <cell r="F173">
            <v>9077306.00760937</v>
          </cell>
        </row>
        <row r="174">
          <cell r="A174">
            <v>39722</v>
          </cell>
          <cell r="B174">
            <v>9077306.00760937</v>
          </cell>
          <cell r="C174">
            <v>166462.75</v>
          </cell>
          <cell r="D174">
            <v>105947.376615938</v>
          </cell>
          <cell r="E174">
            <v>60515.3733840625</v>
          </cell>
          <cell r="F174">
            <v>8971358.63099343</v>
          </cell>
        </row>
        <row r="175">
          <cell r="A175">
            <v>39753</v>
          </cell>
          <cell r="B175">
            <v>8971358.63099343</v>
          </cell>
          <cell r="C175">
            <v>166462.75</v>
          </cell>
          <cell r="D175">
            <v>106653.692460044</v>
          </cell>
          <cell r="E175">
            <v>59809.0575399562</v>
          </cell>
          <cell r="F175">
            <v>8864704.93853339</v>
          </cell>
        </row>
        <row r="176">
          <cell r="A176">
            <v>39783</v>
          </cell>
          <cell r="B176">
            <v>8864704.93853339</v>
          </cell>
          <cell r="C176">
            <v>166462.75</v>
          </cell>
          <cell r="D176">
            <v>107364.717076444</v>
          </cell>
          <cell r="E176">
            <v>59098.0329235559</v>
          </cell>
          <cell r="F176">
            <v>8757340.22145694</v>
          </cell>
        </row>
        <row r="177">
          <cell r="A177">
            <v>39814</v>
          </cell>
          <cell r="B177">
            <v>8757340.22145694</v>
          </cell>
          <cell r="C177">
            <v>166462.75</v>
          </cell>
          <cell r="D177">
            <v>108080.481856954</v>
          </cell>
          <cell r="E177">
            <v>58382.2681430463</v>
          </cell>
          <cell r="F177">
            <v>8649259.73959999</v>
          </cell>
        </row>
        <row r="178">
          <cell r="A178">
            <v>39845</v>
          </cell>
          <cell r="B178">
            <v>8649259.73959999</v>
          </cell>
          <cell r="C178">
            <v>166462.75</v>
          </cell>
          <cell r="D178">
            <v>108801.018402667</v>
          </cell>
          <cell r="E178">
            <v>57661.7315973333</v>
          </cell>
          <cell r="F178">
            <v>8540458.72119732</v>
          </cell>
        </row>
        <row r="179">
          <cell r="A179">
            <v>39873</v>
          </cell>
          <cell r="B179">
            <v>8540458.72119732</v>
          </cell>
          <cell r="C179">
            <v>166462.75</v>
          </cell>
          <cell r="D179">
            <v>109526.358525351</v>
          </cell>
          <cell r="E179">
            <v>56936.3914746488</v>
          </cell>
          <cell r="F179">
            <v>8430932.36267197</v>
          </cell>
        </row>
        <row r="180">
          <cell r="A180">
            <v>39904</v>
          </cell>
          <cell r="B180">
            <v>8430932.36267197</v>
          </cell>
          <cell r="C180">
            <v>166462.75</v>
          </cell>
          <cell r="D180">
            <v>110256.534248854</v>
          </cell>
          <cell r="E180">
            <v>56206.2157511465</v>
          </cell>
          <cell r="F180">
            <v>8320675.82842312</v>
          </cell>
        </row>
        <row r="181">
          <cell r="A181">
            <v>39934</v>
          </cell>
          <cell r="B181">
            <v>8320675.82842312</v>
          </cell>
          <cell r="C181">
            <v>166462.75</v>
          </cell>
          <cell r="D181">
            <v>110991.577810513</v>
          </cell>
          <cell r="E181">
            <v>55471.1721894875</v>
          </cell>
          <cell r="F181">
            <v>8209684.25061261</v>
          </cell>
        </row>
        <row r="182">
          <cell r="A182">
            <v>39965</v>
          </cell>
          <cell r="B182">
            <v>8209684.25061261</v>
          </cell>
          <cell r="C182">
            <v>166462.75</v>
          </cell>
          <cell r="D182">
            <v>111731.521662583</v>
          </cell>
          <cell r="E182">
            <v>54731.2283374174</v>
          </cell>
          <cell r="F182">
            <v>8097952.72895002</v>
          </cell>
        </row>
        <row r="183">
          <cell r="A183">
            <v>39995</v>
          </cell>
          <cell r="B183">
            <v>8097952.72895002</v>
          </cell>
          <cell r="C183">
            <v>166462.75</v>
          </cell>
          <cell r="D183">
            <v>112476.398473667</v>
          </cell>
          <cell r="E183">
            <v>53986.3515263335</v>
          </cell>
          <cell r="F183">
            <v>7985476.33047636</v>
          </cell>
        </row>
        <row r="184">
          <cell r="A184">
            <v>40026</v>
          </cell>
          <cell r="B184">
            <v>7985476.33047636</v>
          </cell>
          <cell r="C184">
            <v>166462.75</v>
          </cell>
          <cell r="D184">
            <v>113226.241130158</v>
          </cell>
          <cell r="E184">
            <v>53236.5088698424</v>
          </cell>
          <cell r="F184">
            <v>7872250.0893462</v>
          </cell>
        </row>
        <row r="185">
          <cell r="A185">
            <v>40057</v>
          </cell>
          <cell r="B185">
            <v>7872250.0893462</v>
          </cell>
          <cell r="C185">
            <v>166462.75</v>
          </cell>
          <cell r="D185">
            <v>113981.082737692</v>
          </cell>
          <cell r="E185">
            <v>52481.667262308</v>
          </cell>
          <cell r="F185">
            <v>7758269.00660851</v>
          </cell>
        </row>
        <row r="186">
          <cell r="A186">
            <v>40087</v>
          </cell>
          <cell r="B186">
            <v>7758269.00660851</v>
          </cell>
          <cell r="C186">
            <v>166462.75</v>
          </cell>
          <cell r="D186">
            <v>114740.95662261</v>
          </cell>
          <cell r="E186">
            <v>51721.7933773901</v>
          </cell>
          <cell r="F186">
            <v>7643528.0499859</v>
          </cell>
        </row>
        <row r="187">
          <cell r="A187">
            <v>40118</v>
          </cell>
          <cell r="B187">
            <v>7643528.0499859</v>
          </cell>
          <cell r="C187">
            <v>166462.75</v>
          </cell>
          <cell r="D187">
            <v>115505.896333427</v>
          </cell>
          <cell r="E187">
            <v>50956.8536665727</v>
          </cell>
          <cell r="F187">
            <v>7528022.15365247</v>
          </cell>
        </row>
        <row r="188">
          <cell r="A188">
            <v>40148</v>
          </cell>
          <cell r="B188">
            <v>7528022.15365247</v>
          </cell>
          <cell r="C188">
            <v>166462.75</v>
          </cell>
          <cell r="D188">
            <v>116275.935642317</v>
          </cell>
          <cell r="E188">
            <v>50186.8143576831</v>
          </cell>
          <cell r="F188">
            <v>7411746.21801015</v>
          </cell>
        </row>
        <row r="189">
          <cell r="A189">
            <v>40179</v>
          </cell>
          <cell r="B189">
            <v>7411746.21801015</v>
          </cell>
          <cell r="C189">
            <v>166462.75</v>
          </cell>
          <cell r="D189">
            <v>117051.108546599</v>
          </cell>
          <cell r="E189">
            <v>49411.641453401</v>
          </cell>
          <cell r="F189">
            <v>7294695.10946355</v>
          </cell>
        </row>
        <row r="190">
          <cell r="A190">
            <v>40210</v>
          </cell>
          <cell r="B190">
            <v>7294695.10946355</v>
          </cell>
          <cell r="C190">
            <v>166462.75</v>
          </cell>
          <cell r="D190">
            <v>117831.449270243</v>
          </cell>
          <cell r="E190">
            <v>48631.300729757</v>
          </cell>
          <cell r="F190">
            <v>7176863.66019331</v>
          </cell>
        </row>
        <row r="191">
          <cell r="A191">
            <v>40238</v>
          </cell>
          <cell r="B191">
            <v>7176863.66019331</v>
          </cell>
          <cell r="C191">
            <v>166462.75</v>
          </cell>
          <cell r="D191">
            <v>118616.992265378</v>
          </cell>
          <cell r="E191">
            <v>47845.7577346221</v>
          </cell>
          <cell r="F191">
            <v>7058246.66792793</v>
          </cell>
        </row>
        <row r="192">
          <cell r="A192">
            <v>40269</v>
          </cell>
          <cell r="B192">
            <v>7058246.66792793</v>
          </cell>
          <cell r="C192">
            <v>166462.75</v>
          </cell>
          <cell r="D192">
            <v>119407.772213814</v>
          </cell>
          <cell r="E192">
            <v>47054.9777861862</v>
          </cell>
          <cell r="F192">
            <v>6938838.89571412</v>
          </cell>
        </row>
        <row r="193">
          <cell r="A193">
            <v>40299</v>
          </cell>
          <cell r="B193">
            <v>6938838.89571412</v>
          </cell>
          <cell r="C193">
            <v>166462.75</v>
          </cell>
          <cell r="D193">
            <v>120203.824028573</v>
          </cell>
          <cell r="E193">
            <v>46258.9259714275</v>
          </cell>
          <cell r="F193">
            <v>6818635.07168555</v>
          </cell>
        </row>
        <row r="194">
          <cell r="A194">
            <v>40330</v>
          </cell>
          <cell r="B194">
            <v>6818635.07168555</v>
          </cell>
          <cell r="C194">
            <v>166462.75</v>
          </cell>
          <cell r="D194">
            <v>121005.18285543</v>
          </cell>
          <cell r="E194">
            <v>45457.5671445703</v>
          </cell>
          <cell r="F194">
            <v>6697629.88883012</v>
          </cell>
        </row>
        <row r="195">
          <cell r="A195">
            <v>40360</v>
          </cell>
          <cell r="B195">
            <v>6697629.88883012</v>
          </cell>
          <cell r="C195">
            <v>166462.75</v>
          </cell>
          <cell r="D195">
            <v>121811.884074466</v>
          </cell>
          <cell r="E195">
            <v>44650.8659255341</v>
          </cell>
          <cell r="F195">
            <v>6575818.00475565</v>
          </cell>
        </row>
        <row r="196">
          <cell r="A196">
            <v>40391</v>
          </cell>
          <cell r="B196">
            <v>6575818.00475565</v>
          </cell>
          <cell r="C196">
            <v>166462.75</v>
          </cell>
          <cell r="D196">
            <v>122623.963301629</v>
          </cell>
          <cell r="E196">
            <v>43838.786698371</v>
          </cell>
          <cell r="F196">
            <v>6453194.04145402</v>
          </cell>
        </row>
        <row r="197">
          <cell r="A197">
            <v>40422</v>
          </cell>
          <cell r="B197">
            <v>6453194.04145402</v>
          </cell>
          <cell r="C197">
            <v>166462.75</v>
          </cell>
          <cell r="D197">
            <v>123441.456390307</v>
          </cell>
          <cell r="E197">
            <v>43021.2936096935</v>
          </cell>
          <cell r="F197">
            <v>6329752.58506372</v>
          </cell>
        </row>
        <row r="198">
          <cell r="A198">
            <v>40452</v>
          </cell>
          <cell r="B198">
            <v>6329752.58506372</v>
          </cell>
          <cell r="C198">
            <v>166462.75</v>
          </cell>
          <cell r="D198">
            <v>124264.399432909</v>
          </cell>
          <cell r="E198">
            <v>42198.3505670914</v>
          </cell>
          <cell r="F198">
            <v>6205488.18563081</v>
          </cell>
        </row>
        <row r="199">
          <cell r="A199">
            <v>40483</v>
          </cell>
          <cell r="B199">
            <v>6205488.18563081</v>
          </cell>
          <cell r="C199">
            <v>166462.75</v>
          </cell>
          <cell r="D199">
            <v>125092.828762461</v>
          </cell>
          <cell r="E199">
            <v>41369.9212375387</v>
          </cell>
          <cell r="F199">
            <v>6080395.35686835</v>
          </cell>
        </row>
        <row r="200">
          <cell r="A200">
            <v>40513</v>
          </cell>
          <cell r="B200">
            <v>6080395.35686835</v>
          </cell>
          <cell r="C200">
            <v>166462.75</v>
          </cell>
          <cell r="D200">
            <v>125926.780954211</v>
          </cell>
          <cell r="E200">
            <v>40535.969045789</v>
          </cell>
          <cell r="F200">
            <v>5954468.57591413</v>
          </cell>
        </row>
        <row r="201">
          <cell r="A201">
            <v>40544</v>
          </cell>
          <cell r="B201">
            <v>5954468.57591413</v>
          </cell>
          <cell r="C201">
            <v>166462.75</v>
          </cell>
          <cell r="D201">
            <v>126766.292827239</v>
          </cell>
          <cell r="E201">
            <v>39696.4571727609</v>
          </cell>
          <cell r="F201">
            <v>5827702.2830869</v>
          </cell>
        </row>
        <row r="202">
          <cell r="A202">
            <v>40575</v>
          </cell>
          <cell r="B202">
            <v>5827702.2830869</v>
          </cell>
          <cell r="C202">
            <v>166462.75</v>
          </cell>
          <cell r="D202">
            <v>127611.401446087</v>
          </cell>
          <cell r="E202">
            <v>38851.3485539126</v>
          </cell>
          <cell r="F202">
            <v>5700090.88164081</v>
          </cell>
        </row>
        <row r="203">
          <cell r="A203">
            <v>40603</v>
          </cell>
          <cell r="B203">
            <v>5700090.88164081</v>
          </cell>
          <cell r="C203">
            <v>166462.75</v>
          </cell>
          <cell r="D203">
            <v>128462.144122395</v>
          </cell>
          <cell r="E203">
            <v>38000.6058776054</v>
          </cell>
          <cell r="F203">
            <v>5571628.73751841</v>
          </cell>
        </row>
        <row r="204">
          <cell r="A204">
            <v>40634</v>
          </cell>
          <cell r="B204">
            <v>5571628.73751841</v>
          </cell>
          <cell r="C204">
            <v>166462.75</v>
          </cell>
          <cell r="D204">
            <v>129318.558416544</v>
          </cell>
          <cell r="E204">
            <v>37144.1915834561</v>
          </cell>
          <cell r="F204">
            <v>5442310.17910187</v>
          </cell>
        </row>
        <row r="205">
          <cell r="A205">
            <v>40664</v>
          </cell>
          <cell r="B205">
            <v>5442310.17910187</v>
          </cell>
          <cell r="C205">
            <v>166462.75</v>
          </cell>
          <cell r="D205">
            <v>130180.682139321</v>
          </cell>
          <cell r="E205">
            <v>36282.0678606791</v>
          </cell>
          <cell r="F205">
            <v>5312129.49696255</v>
          </cell>
        </row>
        <row r="206">
          <cell r="A206">
            <v>40695</v>
          </cell>
          <cell r="B206">
            <v>5312129.49696255</v>
          </cell>
          <cell r="C206">
            <v>166462.75</v>
          </cell>
          <cell r="D206">
            <v>131048.553353583</v>
          </cell>
          <cell r="E206">
            <v>35414.196646417</v>
          </cell>
          <cell r="F206">
            <v>5181080.94360896</v>
          </cell>
        </row>
        <row r="207">
          <cell r="A207">
            <v>40725</v>
          </cell>
          <cell r="B207">
            <v>5181080.94360896</v>
          </cell>
          <cell r="C207">
            <v>166462.75</v>
          </cell>
          <cell r="D207">
            <v>131922.21037594</v>
          </cell>
          <cell r="E207">
            <v>34540.5396240598</v>
          </cell>
          <cell r="F207">
            <v>5049158.73323302</v>
          </cell>
        </row>
        <row r="208">
          <cell r="A208">
            <v>40756</v>
          </cell>
          <cell r="B208">
            <v>5049158.73323302</v>
          </cell>
          <cell r="C208">
            <v>166462.75</v>
          </cell>
          <cell r="D208">
            <v>132801.691778446</v>
          </cell>
          <cell r="E208">
            <v>33661.0582215535</v>
          </cell>
          <cell r="F208">
            <v>4916357.04145458</v>
          </cell>
        </row>
        <row r="209">
          <cell r="A209">
            <v>40787</v>
          </cell>
          <cell r="B209">
            <v>4916357.04145458</v>
          </cell>
          <cell r="C209">
            <v>166462.75</v>
          </cell>
          <cell r="D209">
            <v>133687.036390303</v>
          </cell>
          <cell r="E209">
            <v>32775.7136096972</v>
          </cell>
          <cell r="F209">
            <v>4782670.00506428</v>
          </cell>
        </row>
        <row r="210">
          <cell r="A210">
            <v>40817</v>
          </cell>
          <cell r="B210">
            <v>4782670.00506428</v>
          </cell>
          <cell r="C210">
            <v>166462.75</v>
          </cell>
          <cell r="D210">
            <v>134578.283299571</v>
          </cell>
          <cell r="E210">
            <v>31884.4667004285</v>
          </cell>
          <cell r="F210">
            <v>4648091.7217647</v>
          </cell>
        </row>
        <row r="211">
          <cell r="A211">
            <v>40848</v>
          </cell>
          <cell r="B211">
            <v>4648091.7217647</v>
          </cell>
          <cell r="C211">
            <v>166462.75</v>
          </cell>
          <cell r="D211">
            <v>135475.471854902</v>
          </cell>
          <cell r="E211">
            <v>30987.278145098</v>
          </cell>
          <cell r="F211">
            <v>4512616.2499098</v>
          </cell>
        </row>
        <row r="212">
          <cell r="A212">
            <v>40878</v>
          </cell>
          <cell r="B212">
            <v>4512616.2499098</v>
          </cell>
          <cell r="C212">
            <v>166462.75</v>
          </cell>
          <cell r="D212">
            <v>136378.641667268</v>
          </cell>
          <cell r="E212">
            <v>30084.108332732</v>
          </cell>
          <cell r="F212">
            <v>4376237.60824253</v>
          </cell>
        </row>
        <row r="213">
          <cell r="A213">
            <v>40909</v>
          </cell>
          <cell r="B213">
            <v>4376237.60824253</v>
          </cell>
          <cell r="C213">
            <v>166462.75</v>
          </cell>
          <cell r="D213">
            <v>137287.832611716</v>
          </cell>
          <cell r="E213">
            <v>29174.9173882836</v>
          </cell>
          <cell r="F213">
            <v>4238949.77563082</v>
          </cell>
        </row>
        <row r="214">
          <cell r="A214">
            <v>40940</v>
          </cell>
          <cell r="B214">
            <v>4238949.77563082</v>
          </cell>
          <cell r="C214">
            <v>166462.75</v>
          </cell>
          <cell r="D214">
            <v>138203.084829128</v>
          </cell>
          <cell r="E214">
            <v>28259.6651708721</v>
          </cell>
          <cell r="F214">
            <v>4100746.69080169</v>
          </cell>
        </row>
        <row r="215">
          <cell r="A215">
            <v>40969</v>
          </cell>
          <cell r="B215">
            <v>4100746.69080169</v>
          </cell>
          <cell r="C215">
            <v>166462.75</v>
          </cell>
          <cell r="D215">
            <v>139124.438727989</v>
          </cell>
          <cell r="E215">
            <v>27338.3112720113</v>
          </cell>
          <cell r="F215">
            <v>3961622.2520737</v>
          </cell>
        </row>
        <row r="216">
          <cell r="A216">
            <v>41000</v>
          </cell>
          <cell r="B216">
            <v>3961622.2520737</v>
          </cell>
          <cell r="C216">
            <v>166462.75</v>
          </cell>
          <cell r="D216">
            <v>140051.934986175</v>
          </cell>
          <cell r="E216">
            <v>26410.8150138247</v>
          </cell>
          <cell r="F216">
            <v>3821570.31708752</v>
          </cell>
        </row>
        <row r="217">
          <cell r="A217">
            <v>41030</v>
          </cell>
          <cell r="B217">
            <v>3821570.31708752</v>
          </cell>
          <cell r="C217">
            <v>166462.75</v>
          </cell>
          <cell r="D217">
            <v>140985.61455275</v>
          </cell>
          <cell r="E217">
            <v>25477.1354472502</v>
          </cell>
          <cell r="F217">
            <v>3680584.70253477</v>
          </cell>
        </row>
        <row r="218">
          <cell r="A218">
            <v>41061</v>
          </cell>
          <cell r="B218">
            <v>3680584.70253477</v>
          </cell>
          <cell r="C218">
            <v>166462.75</v>
          </cell>
          <cell r="D218">
            <v>141925.518649768</v>
          </cell>
          <cell r="E218">
            <v>24537.2313502318</v>
          </cell>
          <cell r="F218">
            <v>3538659.18388501</v>
          </cell>
        </row>
        <row r="219">
          <cell r="A219">
            <v>41091</v>
          </cell>
          <cell r="B219">
            <v>3538659.18388501</v>
          </cell>
          <cell r="C219">
            <v>166462.75</v>
          </cell>
          <cell r="D219">
            <v>142871.6887741</v>
          </cell>
          <cell r="E219">
            <v>23591.0612259</v>
          </cell>
          <cell r="F219">
            <v>3395787.49511091</v>
          </cell>
        </row>
        <row r="220">
          <cell r="A220">
            <v>41122</v>
          </cell>
          <cell r="B220">
            <v>3395787.49511091</v>
          </cell>
          <cell r="C220">
            <v>166462.75</v>
          </cell>
          <cell r="D220">
            <v>143824.166699261</v>
          </cell>
          <cell r="E220">
            <v>22638.5833007394</v>
          </cell>
          <cell r="F220">
            <v>3251963.32841165</v>
          </cell>
        </row>
        <row r="221">
          <cell r="A221">
            <v>41153</v>
          </cell>
          <cell r="B221">
            <v>3251963.32841165</v>
          </cell>
          <cell r="C221">
            <v>166462.75</v>
          </cell>
          <cell r="D221">
            <v>144782.994477256</v>
          </cell>
          <cell r="E221">
            <v>21679.7555227443</v>
          </cell>
          <cell r="F221">
            <v>3107180.33393439</v>
          </cell>
        </row>
        <row r="222">
          <cell r="A222">
            <v>41183</v>
          </cell>
          <cell r="B222">
            <v>3107180.33393439</v>
          </cell>
          <cell r="C222">
            <v>166462.75</v>
          </cell>
          <cell r="D222">
            <v>145748.214440437</v>
          </cell>
          <cell r="E222">
            <v>20714.5355595626</v>
          </cell>
          <cell r="F222">
            <v>2961432.11949395</v>
          </cell>
        </row>
        <row r="223">
          <cell r="A223">
            <v>41214</v>
          </cell>
          <cell r="B223">
            <v>2961432.11949395</v>
          </cell>
          <cell r="C223">
            <v>166462.75</v>
          </cell>
          <cell r="D223">
            <v>146719.869203374</v>
          </cell>
          <cell r="E223">
            <v>19742.8807966264</v>
          </cell>
          <cell r="F223">
            <v>2814712.25029058</v>
          </cell>
        </row>
        <row r="224">
          <cell r="A224">
            <v>41244</v>
          </cell>
          <cell r="B224">
            <v>2814712.25029058</v>
          </cell>
          <cell r="C224">
            <v>166462.75</v>
          </cell>
          <cell r="D224">
            <v>147698.001664729</v>
          </cell>
          <cell r="E224">
            <v>18764.7483352705</v>
          </cell>
          <cell r="F224">
            <v>2667014.24862585</v>
          </cell>
        </row>
        <row r="225">
          <cell r="A225">
            <v>41275</v>
          </cell>
          <cell r="B225">
            <v>2667014.24862585</v>
          </cell>
          <cell r="C225">
            <v>166462.75</v>
          </cell>
          <cell r="D225">
            <v>148682.655009161</v>
          </cell>
          <cell r="E225">
            <v>17780.094990839</v>
          </cell>
          <cell r="F225">
            <v>2518331.59361669</v>
          </cell>
        </row>
        <row r="226">
          <cell r="A226">
            <v>41306</v>
          </cell>
          <cell r="B226">
            <v>2518331.59361669</v>
          </cell>
          <cell r="C226">
            <v>166462.75</v>
          </cell>
          <cell r="D226">
            <v>149673.872709222</v>
          </cell>
          <cell r="E226">
            <v>16788.8772907779</v>
          </cell>
          <cell r="F226">
            <v>2368657.72090747</v>
          </cell>
        </row>
        <row r="227">
          <cell r="A227">
            <v>41334</v>
          </cell>
          <cell r="B227">
            <v>2368657.72090747</v>
          </cell>
          <cell r="C227">
            <v>166462.75</v>
          </cell>
          <cell r="D227">
            <v>150671.698527284</v>
          </cell>
          <cell r="E227">
            <v>15791.0514727164</v>
          </cell>
          <cell r="F227">
            <v>2217986.02238018</v>
          </cell>
        </row>
        <row r="228">
          <cell r="A228">
            <v>41365</v>
          </cell>
          <cell r="B228">
            <v>2217986.02238018</v>
          </cell>
          <cell r="C228">
            <v>166462.75</v>
          </cell>
          <cell r="D228">
            <v>151676.176517465</v>
          </cell>
          <cell r="E228">
            <v>14786.5734825346</v>
          </cell>
          <cell r="F228">
            <v>2066309.84586272</v>
          </cell>
        </row>
        <row r="229">
          <cell r="A229">
            <v>41395</v>
          </cell>
          <cell r="B229">
            <v>2066309.84586272</v>
          </cell>
          <cell r="C229">
            <v>166462.75</v>
          </cell>
          <cell r="D229">
            <v>152687.351027582</v>
          </cell>
          <cell r="E229">
            <v>13775.3989724181</v>
          </cell>
          <cell r="F229">
            <v>1913622.49483514</v>
          </cell>
        </row>
        <row r="230">
          <cell r="A230">
            <v>41426</v>
          </cell>
          <cell r="B230">
            <v>1913622.49483514</v>
          </cell>
          <cell r="C230">
            <v>166462.75</v>
          </cell>
          <cell r="D230">
            <v>153705.266701099</v>
          </cell>
          <cell r="E230">
            <v>12757.4832989009</v>
          </cell>
          <cell r="F230">
            <v>1759917.22813404</v>
          </cell>
        </row>
        <row r="231">
          <cell r="A231">
            <v>41456</v>
          </cell>
          <cell r="B231">
            <v>1759917.22813404</v>
          </cell>
          <cell r="C231">
            <v>166462.75</v>
          </cell>
          <cell r="D231">
            <v>154729.968479106</v>
          </cell>
          <cell r="E231">
            <v>11732.7815208936</v>
          </cell>
          <cell r="F231">
            <v>1605187.25965493</v>
          </cell>
        </row>
        <row r="232">
          <cell r="A232">
            <v>41487</v>
          </cell>
          <cell r="B232">
            <v>1605187.25965493</v>
          </cell>
          <cell r="C232">
            <v>166462.75</v>
          </cell>
          <cell r="D232">
            <v>155761.5016023</v>
          </cell>
          <cell r="E232">
            <v>10701.2483976995</v>
          </cell>
          <cell r="F232">
            <v>1449425.75805263</v>
          </cell>
        </row>
        <row r="233">
          <cell r="A233">
            <v>41518</v>
          </cell>
          <cell r="B233">
            <v>1449425.75805263</v>
          </cell>
          <cell r="C233">
            <v>166462.75</v>
          </cell>
          <cell r="D233">
            <v>156799.911612982</v>
          </cell>
          <cell r="E233">
            <v>9662.83838701753</v>
          </cell>
          <cell r="F233">
            <v>1292625.84643965</v>
          </cell>
        </row>
        <row r="234">
          <cell r="A234">
            <v>41548</v>
          </cell>
          <cell r="B234">
            <v>1292625.84643965</v>
          </cell>
          <cell r="C234">
            <v>166462.75</v>
          </cell>
          <cell r="D234">
            <v>157845.244357069</v>
          </cell>
          <cell r="E234">
            <v>8617.50564293098</v>
          </cell>
          <cell r="F234">
            <v>1134780.60208258</v>
          </cell>
        </row>
        <row r="235">
          <cell r="A235">
            <v>41579</v>
          </cell>
          <cell r="B235">
            <v>1134780.60208258</v>
          </cell>
          <cell r="C235">
            <v>166462.75</v>
          </cell>
          <cell r="D235">
            <v>158897.545986116</v>
          </cell>
          <cell r="E235">
            <v>7565.20401388386</v>
          </cell>
          <cell r="F235">
            <v>975883.056096462</v>
          </cell>
        </row>
        <row r="236">
          <cell r="A236">
            <v>41609</v>
          </cell>
          <cell r="B236">
            <v>975883.056096462</v>
          </cell>
          <cell r="C236">
            <v>166462.75</v>
          </cell>
          <cell r="D236">
            <v>159956.862959357</v>
          </cell>
          <cell r="E236">
            <v>6505.88704064308</v>
          </cell>
          <cell r="F236">
            <v>815926.193137105</v>
          </cell>
        </row>
        <row r="237">
          <cell r="A237">
            <v>41640</v>
          </cell>
          <cell r="B237">
            <v>815926.193137105</v>
          </cell>
          <cell r="C237">
            <v>166462.75</v>
          </cell>
          <cell r="D237">
            <v>161023.242045753</v>
          </cell>
          <cell r="E237">
            <v>5439.50795424737</v>
          </cell>
          <cell r="F237">
            <v>654902.951091353</v>
          </cell>
        </row>
        <row r="238">
          <cell r="A238">
            <v>41671</v>
          </cell>
          <cell r="B238">
            <v>654902.951091353</v>
          </cell>
          <cell r="C238">
            <v>166462.75</v>
          </cell>
          <cell r="D238">
            <v>162096.730326058</v>
          </cell>
          <cell r="E238">
            <v>4366.01967394235</v>
          </cell>
          <cell r="F238">
            <v>492806.220765295</v>
          </cell>
        </row>
        <row r="239">
          <cell r="A239">
            <v>41699</v>
          </cell>
          <cell r="B239">
            <v>492806.220765295</v>
          </cell>
          <cell r="C239">
            <v>166462.75</v>
          </cell>
          <cell r="D239">
            <v>163177.375194898</v>
          </cell>
          <cell r="E239">
            <v>3285.37480510197</v>
          </cell>
          <cell r="F239">
            <v>329628.845570397</v>
          </cell>
        </row>
        <row r="240">
          <cell r="A240">
            <v>41730</v>
          </cell>
          <cell r="B240">
            <v>329628.845570397</v>
          </cell>
          <cell r="C240">
            <v>166462.75</v>
          </cell>
          <cell r="D240">
            <v>164265.224362864</v>
          </cell>
          <cell r="E240">
            <v>2197.52563713598</v>
          </cell>
          <cell r="F240">
            <v>165363.621207533</v>
          </cell>
        </row>
        <row r="241">
          <cell r="A241">
            <v>41760</v>
          </cell>
          <cell r="B241">
            <v>165363.621207533</v>
          </cell>
          <cell r="C241">
            <v>166462.75</v>
          </cell>
          <cell r="D241">
            <v>165360.325858616</v>
          </cell>
          <cell r="E241">
            <v>1102.42414138355</v>
          </cell>
          <cell r="F241">
            <v>3.29534891663934</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Adj bcd224d </v>
          </cell>
          <cell r="C4">
            <v>1</v>
          </cell>
        </row>
        <row r="5">
          <cell r="B5" t="str">
            <v>otra</v>
          </cell>
          <cell r="C5" t="str">
            <v>2</v>
          </cell>
          <cell r="E5" t="str">
            <v>remove fuel</v>
          </cell>
          <cell r="G5" t="str">
            <v>RateBlock</v>
          </cell>
        </row>
        <row r="6">
          <cell r="A6" t="str">
            <v>RATE </v>
          </cell>
          <cell r="B6" t="str">
            <v>SCC</v>
          </cell>
          <cell r="C6">
            <v>3</v>
          </cell>
          <cell r="D6" t="str">
            <v>BCD204(01)</v>
          </cell>
          <cell r="E6" t="str">
            <v>related </v>
          </cell>
          <cell r="G6" t="str">
            <v>BCD224B</v>
          </cell>
        </row>
        <row r="7">
          <cell r="A7" t="str">
            <v>SCHEDULE</v>
          </cell>
          <cell r="D7" t="str">
            <v>10/1/99</v>
          </cell>
          <cell r="E7" t="str">
            <v>kwh</v>
          </cell>
          <cell r="G7" t="str">
            <v>10/1/1999</v>
          </cell>
        </row>
        <row r="9">
          <cell r="A9" t="str">
            <v>RS Secondary</v>
          </cell>
        </row>
        <row r="10">
          <cell r="A10" t="str">
            <v>  1st Block Summer</v>
          </cell>
          <cell r="G10">
            <v>100748649</v>
          </cell>
        </row>
        <row r="11">
          <cell r="A11" t="str">
            <v>  1st Block Winter</v>
          </cell>
          <cell r="G11">
            <v>80106026</v>
          </cell>
        </row>
        <row r="13">
          <cell r="A13" t="str">
            <v>  2nd Block Summer</v>
          </cell>
          <cell r="G13">
            <v>31838091</v>
          </cell>
        </row>
        <row r="14">
          <cell r="A14" t="str">
            <v>  2nd Block Winter</v>
          </cell>
          <cell r="G14">
            <v>53708043</v>
          </cell>
        </row>
        <row r="15">
          <cell r="A15" t="str">
            <v>  Total RS</v>
          </cell>
          <cell r="D15">
            <v>260670661</v>
          </cell>
          <cell r="E15">
            <v>0</v>
          </cell>
          <cell r="G15">
            <v>266400809</v>
          </cell>
        </row>
        <row r="17">
          <cell r="A17" t="str">
            <v>RS TOU-D Secondary</v>
          </cell>
        </row>
        <row r="18">
          <cell r="A18" t="str">
            <v>  On Peak Summer</v>
          </cell>
          <cell r="G18">
            <v>13805</v>
          </cell>
        </row>
        <row r="19">
          <cell r="A19" t="str">
            <v>  Off Peak Summer</v>
          </cell>
          <cell r="G19">
            <v>41389</v>
          </cell>
        </row>
        <row r="20">
          <cell r="A20" t="str">
            <v>  On Peak Winter</v>
          </cell>
          <cell r="G20">
            <v>14242</v>
          </cell>
        </row>
        <row r="21">
          <cell r="A21" t="str">
            <v>  Off Peak Winter</v>
          </cell>
          <cell r="G21">
            <v>51617</v>
          </cell>
        </row>
        <row r="22">
          <cell r="A22" t="str">
            <v>  Total RS TOU-D</v>
          </cell>
          <cell r="D22">
            <v>127294</v>
          </cell>
          <cell r="E22">
            <v>0</v>
          </cell>
          <cell r="G22">
            <v>121053</v>
          </cell>
        </row>
        <row r="24">
          <cell r="A24" t="str">
            <v>RS TOU-E (Secondary)</v>
          </cell>
        </row>
        <row r="25">
          <cell r="A25" t="str">
            <v>  On Peak Summer</v>
          </cell>
          <cell r="G25">
            <v>1595916</v>
          </cell>
        </row>
        <row r="26">
          <cell r="A26" t="str">
            <v>  Off Peak Summer</v>
          </cell>
          <cell r="G26">
            <v>2763024</v>
          </cell>
        </row>
        <row r="27">
          <cell r="A27" t="str">
            <v>  On Peak Winter</v>
          </cell>
          <cell r="G27">
            <v>820198</v>
          </cell>
        </row>
        <row r="28">
          <cell r="A28" t="str">
            <v>  Off Peak Winter</v>
          </cell>
          <cell r="G28">
            <v>2462947</v>
          </cell>
        </row>
        <row r="29">
          <cell r="A29" t="str">
            <v>  Total RS TOU-E</v>
          </cell>
          <cell r="D29">
            <v>7319335</v>
          </cell>
          <cell r="E29">
            <v>0</v>
          </cell>
          <cell r="G29">
            <v>7642085</v>
          </cell>
        </row>
        <row r="31">
          <cell r="A31" t="str">
            <v>MGS </v>
          </cell>
          <cell r="D31" t="str">
            <v>(b)</v>
          </cell>
        </row>
        <row r="32">
          <cell r="A32" t="str">
            <v>  1st Block Summer Secondary</v>
          </cell>
          <cell r="G32">
            <v>4889449</v>
          </cell>
        </row>
        <row r="33">
          <cell r="A33" t="str">
            <v>  2nd Block Summer Secondary</v>
          </cell>
          <cell r="G33">
            <v>9951054</v>
          </cell>
        </row>
        <row r="34">
          <cell r="A34" t="str">
            <v>  3rd Block Summer Secondary</v>
          </cell>
          <cell r="G34">
            <v>41768504</v>
          </cell>
        </row>
        <row r="35">
          <cell r="A35" t="str">
            <v>  1st Block Winter Secondary</v>
          </cell>
          <cell r="G35">
            <v>4489498</v>
          </cell>
        </row>
        <row r="36">
          <cell r="A36" t="str">
            <v>  2nd Block Winter Secondary</v>
          </cell>
          <cell r="G36">
            <v>8890644</v>
          </cell>
        </row>
        <row r="37">
          <cell r="A37" t="str">
            <v>  3rd Block Winter Secondary</v>
          </cell>
          <cell r="G37">
            <v>39028898</v>
          </cell>
        </row>
        <row r="38">
          <cell r="A38" t="str">
            <v>Ceiling Rate Secondary</v>
          </cell>
          <cell r="G38">
            <v>5092618</v>
          </cell>
        </row>
        <row r="39">
          <cell r="A39" t="str">
            <v>    Total Secondary</v>
          </cell>
          <cell r="E39">
            <v>0</v>
          </cell>
          <cell r="G39">
            <v>114110665</v>
          </cell>
        </row>
        <row r="41">
          <cell r="A41" t="str">
            <v>  1st Block Summer Primary</v>
          </cell>
          <cell r="G41">
            <v>0</v>
          </cell>
        </row>
        <row r="42">
          <cell r="A42" t="str">
            <v>  2nd Block Summer Primary</v>
          </cell>
          <cell r="G42">
            <v>0</v>
          </cell>
        </row>
        <row r="43">
          <cell r="A43" t="str">
            <v>  3rd Block Summer Primary</v>
          </cell>
          <cell r="G43">
            <v>0</v>
          </cell>
        </row>
        <row r="44">
          <cell r="A44" t="str">
            <v>  1st Block Winter Primary</v>
          </cell>
          <cell r="G44">
            <v>0</v>
          </cell>
        </row>
        <row r="45">
          <cell r="A45" t="str">
            <v>  2nd Block Winter Primary</v>
          </cell>
          <cell r="G45">
            <v>0</v>
          </cell>
        </row>
        <row r="46">
          <cell r="A46" t="str">
            <v>  3rd Block Winter Primary</v>
          </cell>
          <cell r="G46">
            <v>0</v>
          </cell>
        </row>
        <row r="47">
          <cell r="A47" t="str">
            <v>Ceiling Rate Primary </v>
          </cell>
          <cell r="G47">
            <v>0</v>
          </cell>
        </row>
        <row r="48">
          <cell r="A48" t="str">
            <v>     Total Primary</v>
          </cell>
          <cell r="E48">
            <v>0</v>
          </cell>
        </row>
        <row r="49">
          <cell r="A49" t="str">
            <v>  Total MGS</v>
          </cell>
          <cell r="D49">
            <v>91206267</v>
          </cell>
          <cell r="E49">
            <v>0</v>
          </cell>
          <cell r="G49">
            <v>114110665</v>
          </cell>
        </row>
        <row r="53">
          <cell r="A53" t="str">
            <v>AGS </v>
          </cell>
          <cell r="D53" t="str">
            <v>( c)</v>
          </cell>
        </row>
        <row r="54">
          <cell r="A54" t="str">
            <v>  1st Block  Secondary</v>
          </cell>
          <cell r="G54">
            <v>80402693</v>
          </cell>
        </row>
        <row r="55">
          <cell r="A55" t="str">
            <v>  2nd Block Secondary</v>
          </cell>
          <cell r="G55">
            <v>22944935</v>
          </cell>
        </row>
        <row r="56">
          <cell r="A56" t="str">
            <v>  3rd Block Secondary </v>
          </cell>
          <cell r="G56">
            <v>22361229</v>
          </cell>
        </row>
        <row r="57">
          <cell r="A57" t="str">
            <v>  Total AGS Secondary</v>
          </cell>
          <cell r="E57">
            <v>0</v>
          </cell>
          <cell r="G57">
            <v>125708857</v>
          </cell>
        </row>
        <row r="59">
          <cell r="A59" t="str">
            <v>  1st Block  Primary</v>
          </cell>
          <cell r="G59">
            <v>0</v>
          </cell>
        </row>
        <row r="60">
          <cell r="A60" t="str">
            <v>  2nd Block Primary</v>
          </cell>
          <cell r="G60">
            <v>0</v>
          </cell>
        </row>
        <row r="61">
          <cell r="A61" t="str">
            <v>  3rd Block Primary </v>
          </cell>
          <cell r="G61">
            <v>0</v>
          </cell>
        </row>
        <row r="62">
          <cell r="A62" t="str">
            <v>  Total AGS Primary</v>
          </cell>
          <cell r="B62">
            <v>1593680</v>
          </cell>
          <cell r="C62">
            <v>2</v>
          </cell>
          <cell r="E62">
            <v>0</v>
          </cell>
          <cell r="G62">
            <v>0</v>
          </cell>
        </row>
        <row r="63">
          <cell r="A63" t="str">
            <v>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On Peak Summer Secondary</v>
          </cell>
          <cell r="G66">
            <v>7568319</v>
          </cell>
        </row>
        <row r="67">
          <cell r="A67" t="str">
            <v>  Off Peak Summer Secondary</v>
          </cell>
          <cell r="G67">
            <v>9780279</v>
          </cell>
        </row>
        <row r="68">
          <cell r="A68" t="str">
            <v>  On Peak Winter Secondary</v>
          </cell>
          <cell r="G68">
            <v>30984273</v>
          </cell>
        </row>
        <row r="69">
          <cell r="A69" t="str">
            <v>  Off Peak Winter Secondary</v>
          </cell>
          <cell r="G69">
            <v>56023827</v>
          </cell>
        </row>
        <row r="70">
          <cell r="A70" t="str">
            <v>  On Peak Summer Primary</v>
          </cell>
          <cell r="G70">
            <v>0</v>
          </cell>
        </row>
        <row r="71">
          <cell r="A71" t="str">
            <v>  Off Peak Summer Primary</v>
          </cell>
          <cell r="G71">
            <v>0</v>
          </cell>
        </row>
        <row r="72">
          <cell r="A72" t="str">
            <v>  On Peak Winter Primary</v>
          </cell>
        </row>
        <row r="73">
          <cell r="A73" t="str">
            <v>  Off Peak Winter Primary</v>
          </cell>
        </row>
        <row r="74">
          <cell r="A74" t="str">
            <v>  On Peak Summer Sub-Trans</v>
          </cell>
          <cell r="G74">
            <v>0</v>
          </cell>
        </row>
        <row r="75">
          <cell r="A75" t="str">
            <v>  Off Peak Summer Sub-Trans</v>
          </cell>
          <cell r="G75">
            <v>0</v>
          </cell>
        </row>
        <row r="76">
          <cell r="A76" t="str">
            <v>  On Peak Winter Sub-Trans</v>
          </cell>
        </row>
        <row r="77">
          <cell r="A77" t="str">
            <v>  Off Peak Winter Sub-Trans</v>
          </cell>
        </row>
        <row r="78">
          <cell r="A78" t="str">
            <v>  On Peak Summer Transmission</v>
          </cell>
          <cell r="B78">
            <v>0</v>
          </cell>
          <cell r="C78">
            <v>3</v>
          </cell>
          <cell r="G78">
            <v>0</v>
          </cell>
        </row>
        <row r="79">
          <cell r="A79" t="str">
            <v>  Off Peak Summer Transmission</v>
          </cell>
          <cell r="B79">
            <v>0</v>
          </cell>
          <cell r="C79">
            <v>2</v>
          </cell>
          <cell r="G79">
            <v>0</v>
          </cell>
        </row>
        <row r="80">
          <cell r="A80" t="str">
            <v>  On Peak Winter Transmission</v>
          </cell>
        </row>
        <row r="81">
          <cell r="A81" t="str">
            <v>  Off Peak Winter Transmission</v>
          </cell>
        </row>
        <row r="82">
          <cell r="A82" t="str">
            <v>  Total AGS-TOU</v>
          </cell>
          <cell r="B82">
            <v>53511353</v>
          </cell>
          <cell r="C82">
            <v>1</v>
          </cell>
          <cell r="D82">
            <v>103932653</v>
          </cell>
          <cell r="G82">
            <v>104356698</v>
          </cell>
        </row>
        <row r="83">
          <cell r="A83" t="str">
            <v>   ags-tou+scc+sct(agt segment)</v>
          </cell>
          <cell r="D83">
            <v>163938557</v>
          </cell>
        </row>
      </sheetData>
      <sheetData sheetId="136" refreshError="1"/>
      <sheetData sheetId="137" refreshError="1"/>
      <sheetData sheetId="138">
        <row r="1">
          <cell r="B1">
            <v>39083</v>
          </cell>
        </row>
        <row r="3">
          <cell r="B3">
            <v>0.0825</v>
          </cell>
        </row>
        <row r="4">
          <cell r="B4">
            <v>0.045</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1110779.88</v>
          </cell>
          <cell r="G78">
            <v>2518668.55</v>
          </cell>
          <cell r="H78">
            <v>230659.34</v>
          </cell>
          <cell r="I78">
            <v>0</v>
          </cell>
          <cell r="J78">
            <v>0</v>
          </cell>
          <cell r="K78">
            <v>0</v>
          </cell>
          <cell r="L78">
            <v>0</v>
          </cell>
          <cell r="M78">
            <v>0</v>
          </cell>
          <cell r="N78">
            <v>3860107.77</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v>
          </cell>
          <cell r="G84">
            <v>0</v>
          </cell>
          <cell r="H84">
            <v>0</v>
          </cell>
          <cell r="I84">
            <v>0</v>
          </cell>
          <cell r="J84">
            <v>0</v>
          </cell>
          <cell r="K84">
            <v>0</v>
          </cell>
          <cell r="L84">
            <v>0</v>
          </cell>
          <cell r="M84">
            <v>0</v>
          </cell>
          <cell r="N84">
            <v>2665285.95</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293373.85</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279355.22</v>
          </cell>
          <cell r="D100">
            <v>0</v>
          </cell>
          <cell r="E100">
            <v>0</v>
          </cell>
          <cell r="F100">
            <v>0</v>
          </cell>
          <cell r="G100">
            <v>0</v>
          </cell>
          <cell r="H100">
            <v>0</v>
          </cell>
          <cell r="I100">
            <v>0</v>
          </cell>
          <cell r="J100">
            <v>0</v>
          </cell>
          <cell r="K100">
            <v>0</v>
          </cell>
          <cell r="L100">
            <v>0</v>
          </cell>
          <cell r="M100">
            <v>0</v>
          </cell>
          <cell r="N100">
            <v>279355.22</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357883.84</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337636.81</v>
          </cell>
          <cell r="D130">
            <v>2405336.98</v>
          </cell>
          <cell r="E130">
            <v>15511.14</v>
          </cell>
          <cell r="F130">
            <v>13893104.4</v>
          </cell>
          <cell r="G130">
            <v>2556446.84</v>
          </cell>
          <cell r="H130">
            <v>713300.63</v>
          </cell>
          <cell r="I130">
            <v>0</v>
          </cell>
          <cell r="J130">
            <v>6760750.18</v>
          </cell>
          <cell r="K130">
            <v>574045.39</v>
          </cell>
          <cell r="L130">
            <v>1469817.94</v>
          </cell>
          <cell r="M130">
            <v>613614.74</v>
          </cell>
          <cell r="N130">
            <v>30221494.67</v>
          </cell>
        </row>
        <row r="131">
          <cell r="N131">
            <v>30221494.67</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Absolute</v>
          </cell>
        </row>
        <row r="11">
          <cell r="A11" t="str">
            <v>Current Assets</v>
          </cell>
          <cell r="D11" t="str">
            <v>(01.2007-12.2007)</v>
          </cell>
          <cell r="F11" t="str">
            <v>(01.2006-12.2006)</v>
          </cell>
          <cell r="H11" t="str">
            <v>     difference</v>
          </cell>
        </row>
        <row r="13">
          <cell r="A13">
            <v>131000</v>
          </cell>
          <cell r="C13" t="str">
            <v>Cash - General</v>
          </cell>
          <cell r="D13">
            <v>11045042.33</v>
          </cell>
          <cell r="F13">
            <v>5709496.99</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-435176.34</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4842305.81</v>
          </cell>
          <cell r="F19">
            <v>2300987.04</v>
          </cell>
          <cell r="H19">
            <v>2541318.77</v>
          </cell>
        </row>
        <row r="20">
          <cell r="A20" t="str">
            <v>Cash &amp; Cash Equivalents</v>
          </cell>
          <cell r="D20">
            <v>19019283.07</v>
          </cell>
          <cell r="F20">
            <v>12011266.98</v>
          </cell>
          <cell r="H20">
            <v>7008016.09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v>
          </cell>
        </row>
        <row r="26">
          <cell r="A26">
            <v>142070</v>
          </cell>
          <cell r="C26" t="str">
            <v>Customer Accounts Rec - Washington DC</v>
          </cell>
          <cell r="D26">
            <v>63119434.25</v>
          </cell>
          <cell r="F26">
            <v>55015825.68</v>
          </cell>
          <cell r="H26">
            <v>8103608.57</v>
          </cell>
        </row>
        <row r="27">
          <cell r="A27">
            <v>142120</v>
          </cell>
          <cell r="C27" t="str">
            <v>Customer Accounts Rec - MD</v>
          </cell>
          <cell r="D27">
            <v>102426140.21</v>
          </cell>
          <cell r="F27">
            <v>83940847.65</v>
          </cell>
          <cell r="H27">
            <v>18485292.56</v>
          </cell>
        </row>
        <row r="28">
          <cell r="A28">
            <v>142130</v>
          </cell>
          <cell r="C28" t="str">
            <v>Customer Accounts Rec - VA</v>
          </cell>
          <cell r="D28">
            <v>212450.29</v>
          </cell>
          <cell r="F28">
            <v>60748.84</v>
          </cell>
          <cell r="H28">
            <v>151701.45</v>
          </cell>
        </row>
        <row r="29">
          <cell r="A29">
            <v>142210</v>
          </cell>
          <cell r="C29" t="str">
            <v>AR-Supply Portion (all customers)</v>
          </cell>
          <cell r="D29">
            <v>79211441.29</v>
          </cell>
          <cell r="F29">
            <v>48801310.92</v>
          </cell>
          <cell r="H29">
            <v>30410130.37</v>
          </cell>
        </row>
        <row r="30">
          <cell r="A30">
            <v>142350</v>
          </cell>
          <cell r="C30" t="str">
            <v>Customer Accounts Rec-Cash Clearing-Was</v>
          </cell>
          <cell r="D30">
            <v>-2467294.62</v>
          </cell>
          <cell r="F30">
            <v>-2671785.8</v>
          </cell>
          <cell r="H30">
            <v>204491.18</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-182724.08</v>
          </cell>
        </row>
        <row r="34">
          <cell r="A34">
            <v>143100</v>
          </cell>
          <cell r="C34" t="str">
            <v>A/R - Employee Purchases</v>
          </cell>
          <cell r="D34">
            <v>116730</v>
          </cell>
          <cell r="F34">
            <v>86510.55</v>
          </cell>
          <cell r="H34">
            <v>30219.45</v>
          </cell>
        </row>
        <row r="35">
          <cell r="A35">
            <v>143118</v>
          </cell>
          <cell r="C35" t="str">
            <v>A/R - Tuition Aid Reimbursement - Forme</v>
          </cell>
          <cell r="D35">
            <v>40431.5</v>
          </cell>
          <cell r="F35">
            <v>79245.07</v>
          </cell>
          <cell r="H35">
            <v>-38813.57</v>
          </cell>
        </row>
        <row r="36">
          <cell r="A36">
            <v>143150</v>
          </cell>
          <cell r="C36" t="str">
            <v>Accounts Receivable - Asset Sales</v>
          </cell>
          <cell r="D36">
            <v>-58400</v>
          </cell>
          <cell r="F36">
            <v>-223421.8</v>
          </cell>
          <cell r="H36">
            <v>165021.8</v>
          </cell>
        </row>
        <row r="37">
          <cell r="A37">
            <v>143200</v>
          </cell>
          <cell r="C37" t="str">
            <v>A/R-PJM Interchange</v>
          </cell>
          <cell r="D37">
            <v>7345126.41</v>
          </cell>
          <cell r="F37">
            <v>5214418.15</v>
          </cell>
          <cell r="H37">
            <v>2130708.26</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35354518.69</v>
          </cell>
          <cell r="H39">
            <v>-35354518.69</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-25092.3100000001</v>
          </cell>
        </row>
        <row r="43">
          <cell r="A43">
            <v>143901</v>
          </cell>
          <cell r="C43" t="str">
            <v>Accounts Receivable Special Billing</v>
          </cell>
          <cell r="D43">
            <v>5632352.6</v>
          </cell>
          <cell r="F43">
            <v>8084245.1</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81900188.13</v>
          </cell>
          <cell r="F49">
            <v>82047538</v>
          </cell>
          <cell r="H49">
            <v>-147349.870000005</v>
          </cell>
        </row>
        <row r="50">
          <cell r="A50" t="str">
            <v>Accounts Receivable</v>
          </cell>
          <cell r="D50">
            <v>355994712.03</v>
          </cell>
          <cell r="F50">
            <v>335727707.38</v>
          </cell>
          <cell r="H50">
            <v>20267004.65</v>
          </cell>
        </row>
        <row r="51">
          <cell r="H51">
            <v>0</v>
          </cell>
        </row>
        <row r="52">
          <cell r="A52">
            <v>144000</v>
          </cell>
          <cell r="C52" t="str">
            <v>PROVISION FOR UNCOLLECTIBLE ACCOUNTS</v>
          </cell>
          <cell r="D52">
            <v>-12454382.81</v>
          </cell>
          <cell r="F52">
            <v>-7811119.76</v>
          </cell>
          <cell r="H52">
            <v>-4643263.05</v>
          </cell>
        </row>
        <row r="53">
          <cell r="A53">
            <v>144005</v>
          </cell>
          <cell r="C53" t="str">
            <v>Provision for Uncollectible Accounts -</v>
          </cell>
          <cell r="D53">
            <v>0</v>
          </cell>
          <cell r="F53">
            <v>-9600000</v>
          </cell>
          <cell r="H53">
            <v>9600000</v>
          </cell>
        </row>
        <row r="54">
          <cell r="A54" t="str">
            <v>Provision for Uncollectible</v>
          </cell>
          <cell r="D54">
            <v>-12454382.81</v>
          </cell>
          <cell r="F54">
            <v>-17411119.76</v>
          </cell>
          <cell r="H54">
            <v>4956736.95</v>
          </cell>
        </row>
        <row r="55">
          <cell r="H55">
            <v>0</v>
          </cell>
        </row>
        <row r="56">
          <cell r="A56">
            <v>146003</v>
          </cell>
          <cell r="C56" t="str">
            <v>I/C - Pepco/PES - Retail Access</v>
          </cell>
          <cell r="D56">
            <v>-47406133.21</v>
          </cell>
          <cell r="F56">
            <v>-29759563.56</v>
          </cell>
          <cell r="H56">
            <v>-17646569.65</v>
          </cell>
        </row>
        <row r="57">
          <cell r="A57">
            <v>146004</v>
          </cell>
          <cell r="C57" t="str">
            <v>I/C - Pepco/PES - Special Billing Contr</v>
          </cell>
          <cell r="D57">
            <v>-5703746.71</v>
          </cell>
          <cell r="F57">
            <v>-5610882.55</v>
          </cell>
          <cell r="H57">
            <v>-92864.1600000001</v>
          </cell>
        </row>
        <row r="58">
          <cell r="A58">
            <v>146506</v>
          </cell>
          <cell r="C58" t="str">
            <v>I/C-PEPCO / ACE   7000/1500</v>
          </cell>
          <cell r="D58">
            <v>-26828.63</v>
          </cell>
          <cell r="F58">
            <v>8226.22</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v>
          </cell>
          <cell r="H60">
            <v>4927903.67</v>
          </cell>
        </row>
        <row r="61">
          <cell r="A61">
            <v>146976</v>
          </cell>
          <cell r="C61" t="str">
            <v>I/C-PEPCO / PHISC  7000/9000</v>
          </cell>
          <cell r="D61">
            <v>-16922526.33</v>
          </cell>
          <cell r="F61">
            <v>-946266.44</v>
          </cell>
          <cell r="H61">
            <v>-15976259.89</v>
          </cell>
        </row>
        <row r="62">
          <cell r="A62">
            <v>146991</v>
          </cell>
          <cell r="C62" t="str">
            <v>I/C-PEPCO / CESI  7000/3000</v>
          </cell>
          <cell r="D62">
            <v>-5765201.65</v>
          </cell>
          <cell r="F62">
            <v>-4785938.86</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v>
          </cell>
          <cell r="F64">
            <v>-46026976.28</v>
          </cell>
          <cell r="H64">
            <v>-29765547.45</v>
          </cell>
        </row>
        <row r="65">
          <cell r="H65">
            <v>0</v>
          </cell>
        </row>
        <row r="66">
          <cell r="A66">
            <v>154000</v>
          </cell>
          <cell r="C66" t="str">
            <v>Material &amp; Operating Supplies - General</v>
          </cell>
          <cell r="D66">
            <v>41652362.78</v>
          </cell>
          <cell r="F66">
            <v>39168388</v>
          </cell>
          <cell r="H66">
            <v>2483974.78</v>
          </cell>
        </row>
        <row r="67">
          <cell r="A67">
            <v>154080</v>
          </cell>
          <cell r="C67" t="str">
            <v>Inventory - Blocked Stock</v>
          </cell>
          <cell r="D67">
            <v>-10635.91</v>
          </cell>
          <cell r="F67">
            <v>-24557.54</v>
          </cell>
          <cell r="H67">
            <v>13921.63</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v>
          </cell>
        </row>
        <row r="70">
          <cell r="A70" t="str">
            <v>Inventories - Fuel, Materials and Supplies</v>
          </cell>
          <cell r="D70">
            <v>45393970.81</v>
          </cell>
          <cell r="F70">
            <v>42774740.03</v>
          </cell>
          <cell r="H70">
            <v>2619230.78</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101541.04</v>
          </cell>
        </row>
        <row r="79">
          <cell r="A79">
            <v>165100</v>
          </cell>
          <cell r="C79" t="str">
            <v>Prepayments - Other Taxes</v>
          </cell>
          <cell r="D79">
            <v>9423132.76</v>
          </cell>
          <cell r="F79">
            <v>7038981.71</v>
          </cell>
          <cell r="H79">
            <v>2384151.05</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611169.58</v>
          </cell>
          <cell r="H81">
            <v>0.0300000000279397</v>
          </cell>
        </row>
        <row r="82">
          <cell r="A82">
            <v>165406</v>
          </cell>
          <cell r="C82" t="str">
            <v>Prepayments-Postage General</v>
          </cell>
          <cell r="D82">
            <v>156507.72</v>
          </cell>
          <cell r="F82">
            <v>82091.04</v>
          </cell>
          <cell r="H82">
            <v>74416.68</v>
          </cell>
        </row>
        <row r="83">
          <cell r="A83">
            <v>165410</v>
          </cell>
          <cell r="C83" t="str">
            <v>Prepayments - Income Taxes</v>
          </cell>
          <cell r="D83">
            <v>93394193.82</v>
          </cell>
          <cell r="F83">
            <v>66543602.05</v>
          </cell>
          <cell r="H83">
            <v>26850591.77</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92113939.36</v>
          </cell>
          <cell r="H87">
            <v>16367025.39</v>
          </cell>
        </row>
        <row r="88">
          <cell r="H88">
            <v>0</v>
          </cell>
        </row>
        <row r="89">
          <cell r="A89" t="str">
            <v>Total</v>
          </cell>
          <cell r="D89">
            <v>441846031.12</v>
          </cell>
          <cell r="F89">
            <v>419189557.71</v>
          </cell>
          <cell r="H89">
            <v>22656473.41</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v>
          </cell>
          <cell r="F94">
            <v>4773812.83</v>
          </cell>
          <cell r="H94">
            <v>-414208.6</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60598059.61</v>
          </cell>
          <cell r="F97">
            <v>34854093.31</v>
          </cell>
          <cell r="H97">
            <v>25743966.3</v>
          </cell>
        </row>
        <row r="98">
          <cell r="A98">
            <v>182506</v>
          </cell>
          <cell r="C98" t="str">
            <v>Other Reg Assets - Generation Procureme</v>
          </cell>
          <cell r="D98">
            <v>2203539.8</v>
          </cell>
          <cell r="F98">
            <v>0</v>
          </cell>
          <cell r="H98">
            <v>2203539.8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34348789.54</v>
          </cell>
          <cell r="F100">
            <v>31688699.82</v>
          </cell>
          <cell r="H100">
            <v>2660089.72</v>
          </cell>
        </row>
        <row r="101">
          <cell r="A101">
            <v>182520</v>
          </cell>
          <cell r="C101" t="str">
            <v>Other Regulatory Assets - MD SOS Energy</v>
          </cell>
          <cell r="D101">
            <v>10153513.44</v>
          </cell>
          <cell r="F101">
            <v>2421395</v>
          </cell>
          <cell r="H101">
            <v>7732118.44</v>
          </cell>
        </row>
        <row r="102">
          <cell r="A102">
            <v>182521</v>
          </cell>
          <cell r="C102" t="str">
            <v>Other Regulatory Assets - MD SOS Transm</v>
          </cell>
          <cell r="D102">
            <v>1136579.16</v>
          </cell>
          <cell r="F102">
            <v>0</v>
          </cell>
          <cell r="H102">
            <v>1136579.16</v>
          </cell>
        </row>
        <row r="103">
          <cell r="A103">
            <v>182522</v>
          </cell>
          <cell r="C103" t="str">
            <v>Other Reg Assets - MD SOS Administrativ</v>
          </cell>
          <cell r="D103">
            <v>3310696.14</v>
          </cell>
          <cell r="F103">
            <v>5036083.25</v>
          </cell>
          <cell r="H103">
            <v>-1725387.11</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5896867.85</v>
          </cell>
          <cell r="F105">
            <v>4038943.95</v>
          </cell>
          <cell r="H105">
            <v>1857923.9</v>
          </cell>
        </row>
        <row r="106">
          <cell r="A106">
            <v>182531</v>
          </cell>
          <cell r="C106" t="str">
            <v>Other Regulatory Assets - Phase-In Cred</v>
          </cell>
          <cell r="D106">
            <v>1436166.65</v>
          </cell>
          <cell r="F106">
            <v>1292760.59</v>
          </cell>
          <cell r="H106">
            <v>143406.06</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v>
          </cell>
          <cell r="H109">
            <v>-324196.98</v>
          </cell>
        </row>
        <row r="110">
          <cell r="A110">
            <v>189300</v>
          </cell>
          <cell r="C110" t="str">
            <v>Unamortized Loss - Pollution Bonds</v>
          </cell>
          <cell r="D110">
            <v>300945.71</v>
          </cell>
          <cell r="F110">
            <v>319609.01</v>
          </cell>
          <cell r="H110">
            <v>-18663.3</v>
          </cell>
        </row>
        <row r="111">
          <cell r="A111">
            <v>189400</v>
          </cell>
          <cell r="C111" t="str">
            <v>Unamortized Loss - First Mortgage Bonds</v>
          </cell>
          <cell r="D111">
            <v>34304369.88</v>
          </cell>
          <cell r="F111">
            <v>36822654.73</v>
          </cell>
          <cell r="H111">
            <v>-2518284.84999999</v>
          </cell>
        </row>
        <row r="112">
          <cell r="A112" t="str">
            <v>Regulatory Assets</v>
          </cell>
          <cell r="D112">
            <v>178545732.73</v>
          </cell>
          <cell r="F112">
            <v>127676805.17</v>
          </cell>
          <cell r="H112">
            <v>50868927.56</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v>
          </cell>
          <cell r="F120">
            <v>0</v>
          </cell>
          <cell r="H120">
            <v>6782564.58</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8547737.87</v>
          </cell>
          <cell r="F122">
            <v>0</v>
          </cell>
          <cell r="H122">
            <v>8547737.87</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27477065.56</v>
          </cell>
          <cell r="F125">
            <v>0</v>
          </cell>
          <cell r="H125">
            <v>27477065.56</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25401653.33</v>
          </cell>
          <cell r="H128">
            <v>-2671966.67</v>
          </cell>
        </row>
        <row r="129">
          <cell r="A129">
            <v>128117</v>
          </cell>
          <cell r="C129" t="str">
            <v>Other Special Funds - Deferred Comp - T</v>
          </cell>
          <cell r="D129">
            <v>1844383.28</v>
          </cell>
          <cell r="F129">
            <v>1755660.82</v>
          </cell>
          <cell r="H129">
            <v>88722.46</v>
          </cell>
        </row>
        <row r="130">
          <cell r="A130">
            <v>128118</v>
          </cell>
          <cell r="C130" t="str">
            <v>Other Special Funds - Deferred Comp PHI</v>
          </cell>
          <cell r="D130">
            <v>1904493.09</v>
          </cell>
          <cell r="F130">
            <v>1812784.29</v>
          </cell>
          <cell r="H130">
            <v>91708.8</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417337589.15</v>
          </cell>
          <cell r="F132">
            <v>0</v>
          </cell>
          <cell r="H132">
            <v>417337589.15</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9503187.79</v>
          </cell>
          <cell r="F134">
            <v>6508526.83</v>
          </cell>
          <cell r="H134">
            <v>2994660.96</v>
          </cell>
        </row>
        <row r="135">
          <cell r="A135">
            <v>181300</v>
          </cell>
          <cell r="C135" t="str">
            <v>Unamortized Debt Expense - Other</v>
          </cell>
          <cell r="D135">
            <v>1969958.44</v>
          </cell>
          <cell r="F135">
            <v>2080908.48</v>
          </cell>
          <cell r="H135">
            <v>-110950.04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163545.75</v>
          </cell>
        </row>
        <row r="138">
          <cell r="A138">
            <v>184200</v>
          </cell>
          <cell r="C138" t="str">
            <v>Clearing supplier discounts (Net method</v>
          </cell>
          <cell r="D138">
            <v>310.22</v>
          </cell>
          <cell r="F138">
            <v>1341.88</v>
          </cell>
          <cell r="H138">
            <v>-1031.66</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v>
          </cell>
          <cell r="H140">
            <v>-64120.5300000003</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v>
          </cell>
        </row>
        <row r="143">
          <cell r="A143">
            <v>186250</v>
          </cell>
          <cell r="C143" t="str">
            <v>Misc Deferred Debits-Officer's Life Ins</v>
          </cell>
          <cell r="D143">
            <v>17678372.5</v>
          </cell>
          <cell r="F143">
            <v>17229050.4</v>
          </cell>
          <cell r="H143">
            <v>449322.100000001</v>
          </cell>
        </row>
        <row r="144">
          <cell r="A144">
            <v>186251</v>
          </cell>
          <cell r="C144" t="str">
            <v>Misc Deferred Debits-COLI Plan</v>
          </cell>
          <cell r="D144">
            <v>68066968.67</v>
          </cell>
          <cell r="F144">
            <v>63508037.57</v>
          </cell>
          <cell r="H144">
            <v>4558931.1</v>
          </cell>
        </row>
        <row r="145">
          <cell r="A145">
            <v>186611</v>
          </cell>
          <cell r="C145" t="str">
            <v>Construction Related</v>
          </cell>
          <cell r="D145">
            <v>10554786.44</v>
          </cell>
          <cell r="F145">
            <v>12701448</v>
          </cell>
          <cell r="H145">
            <v>-2146661.56</v>
          </cell>
        </row>
        <row r="146">
          <cell r="A146">
            <v>186878</v>
          </cell>
          <cell r="C146" t="str">
            <v>Misc Def Debits - Property Sales - Curr</v>
          </cell>
          <cell r="D146">
            <v>1377869.78</v>
          </cell>
          <cell r="F146">
            <v>10134.28</v>
          </cell>
          <cell r="H146">
            <v>1367735.5</v>
          </cell>
        </row>
        <row r="147">
          <cell r="A147">
            <v>242413</v>
          </cell>
          <cell r="C147" t="str">
            <v>Loans against Life Insurance Contract I</v>
          </cell>
          <cell r="D147">
            <v>-45433872.87</v>
          </cell>
          <cell r="F147">
            <v>-42585029.03</v>
          </cell>
          <cell r="H147">
            <v>-2848843.84</v>
          </cell>
        </row>
        <row r="148">
          <cell r="A148" t="str">
            <v>Other</v>
          </cell>
          <cell r="D148">
            <v>510605061.36</v>
          </cell>
          <cell r="F148">
            <v>128597466.31</v>
          </cell>
          <cell r="H148">
            <v>382007595.05</v>
          </cell>
        </row>
        <row r="149">
          <cell r="H149">
            <v>0</v>
          </cell>
        </row>
        <row r="150">
          <cell r="A150" t="str">
            <v>Total</v>
          </cell>
          <cell r="D150">
            <v>1020890222.11</v>
          </cell>
          <cell r="F150">
            <v>416347356.76</v>
          </cell>
          <cell r="H150">
            <v>604542865.35</v>
          </cell>
        </row>
        <row r="151">
          <cell r="H151">
            <v>0</v>
          </cell>
        </row>
        <row r="152">
          <cell r="A152" t="str">
            <v>Property, Plant, and Equipment</v>
          </cell>
          <cell r="H152">
            <v>0</v>
          </cell>
        </row>
        <row r="153">
          <cell r="H153">
            <v>0</v>
          </cell>
        </row>
        <row r="154">
          <cell r="A154">
            <v>101010</v>
          </cell>
          <cell r="C154" t="str">
            <v>Plant In Service-Electric</v>
          </cell>
          <cell r="D154">
            <v>4824561534.4</v>
          </cell>
          <cell r="F154">
            <v>4667804352.4</v>
          </cell>
          <cell r="H154">
            <v>156757182</v>
          </cell>
        </row>
        <row r="155">
          <cell r="A155">
            <v>101100</v>
          </cell>
          <cell r="C155" t="str">
            <v>Property under Capital Lease (Manual)</v>
          </cell>
          <cell r="D155">
            <v>154553474.36</v>
          </cell>
          <cell r="F155">
            <v>154553474.36</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81053192.94</v>
          </cell>
          <cell r="F157">
            <v>79721084.47</v>
          </cell>
          <cell r="H157">
            <v>1332108.47</v>
          </cell>
        </row>
        <row r="158">
          <cell r="A158">
            <v>101900</v>
          </cell>
          <cell r="C158" t="str">
            <v>Plant In Service-Electric Fair Value Re</v>
          </cell>
          <cell r="D158">
            <v>-8749395.37</v>
          </cell>
          <cell r="F158">
            <v>0</v>
          </cell>
          <cell r="H158">
            <v>-8749395.37</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170509524.07</v>
          </cell>
          <cell r="H160">
            <v>-170509524.07</v>
          </cell>
        </row>
        <row r="161">
          <cell r="A161">
            <v>107100</v>
          </cell>
          <cell r="C161" t="str">
            <v>Assets Under Construction Accruals</v>
          </cell>
          <cell r="D161">
            <v>1715874.79</v>
          </cell>
          <cell r="F161">
            <v>496432.69</v>
          </cell>
          <cell r="H161">
            <v>1219442.1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v>
          </cell>
        </row>
        <row r="164">
          <cell r="A164">
            <v>107302</v>
          </cell>
          <cell r="C164" t="str">
            <v>Asset Under Construction - Emergency Op</v>
          </cell>
          <cell r="D164">
            <v>122192</v>
          </cell>
          <cell r="F164">
            <v>2121686.01</v>
          </cell>
          <cell r="H164">
            <v>-1999494.01</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80220040.19</v>
          </cell>
          <cell r="F166">
            <v>80220040.19</v>
          </cell>
          <cell r="H166">
            <v>0</v>
          </cell>
        </row>
        <row r="167">
          <cell r="A167" t="str">
            <v>Property, Plant and Equipment</v>
          </cell>
          <cell r="D167">
            <v>5368892552.11</v>
          </cell>
          <cell r="F167">
            <v>5157567069.79</v>
          </cell>
          <cell r="H167">
            <v>211325482.32</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-19217814.11</v>
          </cell>
          <cell r="F170">
            <v>-13924730.62</v>
          </cell>
          <cell r="H170">
            <v>-5293083.49</v>
          </cell>
        </row>
        <row r="171">
          <cell r="A171">
            <v>108010</v>
          </cell>
          <cell r="C171" t="str">
            <v>Accumulated Depreciation-Electric</v>
          </cell>
          <cell r="D171">
            <v>-2286231935.94</v>
          </cell>
          <cell r="F171">
            <v>-2144214320.84</v>
          </cell>
          <cell r="H171">
            <v>-142017615.1</v>
          </cell>
        </row>
        <row r="172">
          <cell r="A172">
            <v>108011</v>
          </cell>
          <cell r="C172" t="str">
            <v>Accumulated Cost of Removal - Electric</v>
          </cell>
          <cell r="D172">
            <v>52406000.89</v>
          </cell>
          <cell r="F172">
            <v>41679028.06</v>
          </cell>
          <cell r="H172">
            <v>10726972.83</v>
          </cell>
        </row>
        <row r="173">
          <cell r="A173">
            <v>108012</v>
          </cell>
          <cell r="C173" t="str">
            <v>Accumulated Gains and Losses - Electric</v>
          </cell>
          <cell r="D173">
            <v>28411884.66</v>
          </cell>
          <cell r="F173">
            <v>18442766.74</v>
          </cell>
          <cell r="H173">
            <v>9969117.92</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v>
          </cell>
          <cell r="F176">
            <v>-5726734.48</v>
          </cell>
          <cell r="H176">
            <v>-996507.35</v>
          </cell>
        </row>
        <row r="177">
          <cell r="A177">
            <v>108200</v>
          </cell>
          <cell r="C177" t="str">
            <v>Accum Depreciation - Adjustments</v>
          </cell>
          <cell r="D177">
            <v>20567985.78</v>
          </cell>
          <cell r="F177">
            <v>0</v>
          </cell>
          <cell r="H177">
            <v>20567985.78</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-68463444.94</v>
          </cell>
          <cell r="F179">
            <v>-59554901.47</v>
          </cell>
          <cell r="H179">
            <v>-8908543.47</v>
          </cell>
        </row>
        <row r="180">
          <cell r="A180">
            <v>111640</v>
          </cell>
          <cell r="C180" t="str">
            <v>Acc Amort - General Plant</v>
          </cell>
          <cell r="D180">
            <v>-3639491.79</v>
          </cell>
          <cell r="F180">
            <v>-3216887.07</v>
          </cell>
          <cell r="H180">
            <v>-422604.72</v>
          </cell>
        </row>
        <row r="181">
          <cell r="A181">
            <v>122000</v>
          </cell>
          <cell r="C181" t="str">
            <v>Acc Depr &amp; Amort of Nonutility Property</v>
          </cell>
          <cell r="D181">
            <v>-63568706.52</v>
          </cell>
          <cell r="F181">
            <v>-63489537.52</v>
          </cell>
          <cell r="H181">
            <v>-79169</v>
          </cell>
        </row>
        <row r="182">
          <cell r="A182" t="str">
            <v>Accumulated Depreciation &amp; Amortization</v>
          </cell>
          <cell r="D182">
            <v>-2274393277.53</v>
          </cell>
          <cell r="F182">
            <v>-2162486634.46</v>
          </cell>
          <cell r="H182">
            <v>-111906643.07</v>
          </cell>
        </row>
        <row r="183">
          <cell r="H183">
            <v>0</v>
          </cell>
        </row>
        <row r="184">
          <cell r="A184" t="str">
            <v>Total</v>
          </cell>
          <cell r="D184">
            <v>3094499274.58</v>
          </cell>
          <cell r="F184">
            <v>2995080435.33</v>
          </cell>
          <cell r="H184">
            <v>99418839.25</v>
          </cell>
        </row>
        <row r="185">
          <cell r="H185">
            <v>0</v>
          </cell>
        </row>
        <row r="186">
          <cell r="A186" t="str">
            <v>Total Assets</v>
          </cell>
          <cell r="D186">
            <v>4557235527.81</v>
          </cell>
          <cell r="F186">
            <v>3830617349.8</v>
          </cell>
          <cell r="H186">
            <v>726618178.01</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-83988911.19</v>
          </cell>
          <cell r="F205">
            <v>-67073684.32</v>
          </cell>
          <cell r="H205">
            <v>-16915226.87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v>
          </cell>
          <cell r="F210">
            <v>351044.55</v>
          </cell>
          <cell r="H210">
            <v>-96285712.48</v>
          </cell>
        </row>
        <row r="211">
          <cell r="A211" t="str">
            <v>Money Pool Lendings</v>
          </cell>
          <cell r="D211">
            <v>-95934667.93</v>
          </cell>
          <cell r="F211">
            <v>351044.55</v>
          </cell>
          <cell r="H211">
            <v>-96285712.48</v>
          </cell>
        </row>
        <row r="212">
          <cell r="H212">
            <v>0</v>
          </cell>
        </row>
        <row r="213">
          <cell r="A213">
            <v>184100</v>
          </cell>
          <cell r="C213" t="str">
            <v>Clearing-Goods Received/Invoice Receive</v>
          </cell>
          <cell r="D213">
            <v>-2151751.84</v>
          </cell>
          <cell r="F213">
            <v>-1562144.08</v>
          </cell>
          <cell r="H213">
            <v>-589607.76</v>
          </cell>
        </row>
        <row r="214">
          <cell r="A214">
            <v>232000</v>
          </cell>
          <cell r="C214" t="str">
            <v>Accounts Payable Reconciliation - Gener</v>
          </cell>
          <cell r="D214">
            <v>-12809923.83</v>
          </cell>
          <cell r="F214">
            <v>-25734120.56</v>
          </cell>
          <cell r="H214">
            <v>12924196.73</v>
          </cell>
        </row>
        <row r="215">
          <cell r="A215">
            <v>232004</v>
          </cell>
          <cell r="C215" t="str">
            <v>Cashed Checks - A/P</v>
          </cell>
          <cell r="D215">
            <v>-285026.8</v>
          </cell>
          <cell r="F215">
            <v>4684940.72</v>
          </cell>
          <cell r="H215">
            <v>-4969967.52</v>
          </cell>
        </row>
        <row r="216">
          <cell r="A216">
            <v>232005</v>
          </cell>
          <cell r="C216" t="str">
            <v>Outstanding Checks-A/P Wires</v>
          </cell>
          <cell r="D216">
            <v>-0.01</v>
          </cell>
          <cell r="F216">
            <v>0</v>
          </cell>
          <cell r="H216">
            <v>-0.01</v>
          </cell>
        </row>
        <row r="217">
          <cell r="A217">
            <v>232008</v>
          </cell>
          <cell r="C217" t="str">
            <v>Outstanding Checks-Customer Refund</v>
          </cell>
          <cell r="D217">
            <v>-28876.64</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v>
          </cell>
          <cell r="H219">
            <v>5790293.64</v>
          </cell>
        </row>
        <row r="220">
          <cell r="A220">
            <v>232020</v>
          </cell>
          <cell r="C220" t="str">
            <v>Outstanding Checks-Customer Refund-Bank</v>
          </cell>
          <cell r="D220">
            <v>-1968149.84</v>
          </cell>
          <cell r="F220">
            <v>-152598.39</v>
          </cell>
          <cell r="H220">
            <v>-1815551.45</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-6674.43</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-0.07</v>
          </cell>
          <cell r="F226">
            <v>-0.06</v>
          </cell>
          <cell r="H226">
            <v>-0.01</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v>
          </cell>
          <cell r="H228">
            <v>-12743637.99</v>
          </cell>
        </row>
        <row r="229">
          <cell r="A229">
            <v>232430</v>
          </cell>
          <cell r="C229" t="str">
            <v>Accounts Payable Accrual - Purchased Po</v>
          </cell>
          <cell r="D229">
            <v>-99159425.42</v>
          </cell>
          <cell r="F229">
            <v>-89389133.9</v>
          </cell>
          <cell r="H229">
            <v>-9770291.52</v>
          </cell>
        </row>
        <row r="230">
          <cell r="A230">
            <v>232455</v>
          </cell>
          <cell r="C230" t="str">
            <v>Accounts Payable-Quarterly Accruals</v>
          </cell>
          <cell r="D230">
            <v>0</v>
          </cell>
          <cell r="F230">
            <v>-19569706.65</v>
          </cell>
          <cell r="H230">
            <v>19569706.65</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-132022.52</v>
          </cell>
          <cell r="F232">
            <v>-219823.52</v>
          </cell>
          <cell r="H232">
            <v>87801</v>
          </cell>
        </row>
        <row r="233">
          <cell r="A233">
            <v>232502</v>
          </cell>
          <cell r="C233" t="str">
            <v>Accounts Payable-Accrued Payroll</v>
          </cell>
          <cell r="D233">
            <v>-1745571.27</v>
          </cell>
          <cell r="F233">
            <v>-1762722.67</v>
          </cell>
          <cell r="H233">
            <v>17151.3999999999</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v>
          </cell>
        </row>
        <row r="237">
          <cell r="A237">
            <v>232645</v>
          </cell>
          <cell r="C237" t="str">
            <v>AP-P/R Deduct Pay South</v>
          </cell>
          <cell r="D237">
            <v>-206.68</v>
          </cell>
          <cell r="F237">
            <v>0</v>
          </cell>
          <cell r="H237">
            <v>-206.68</v>
          </cell>
        </row>
        <row r="238">
          <cell r="A238">
            <v>232650</v>
          </cell>
          <cell r="C238" t="str">
            <v>Accounts Payable - Third Party Supplier</v>
          </cell>
          <cell r="D238">
            <v>-37527196.79</v>
          </cell>
          <cell r="F238">
            <v>-21111649.82</v>
          </cell>
          <cell r="H238">
            <v>-16415546.97</v>
          </cell>
        </row>
        <row r="239">
          <cell r="A239">
            <v>232655</v>
          </cell>
          <cell r="C239" t="str">
            <v>Retail Customer Accounts - Credits</v>
          </cell>
          <cell r="D239">
            <v>-12342548.58</v>
          </cell>
          <cell r="F239">
            <v>-12073188.57</v>
          </cell>
          <cell r="H239">
            <v>-269360.01</v>
          </cell>
        </row>
        <row r="240">
          <cell r="A240" t="str">
            <v>Accounts Payable</v>
          </cell>
          <cell r="D240">
            <v>-201721278.81</v>
          </cell>
          <cell r="F240">
            <v>-180062207.42</v>
          </cell>
          <cell r="H240">
            <v>-21659071.39</v>
          </cell>
        </row>
        <row r="241">
          <cell r="H241">
            <v>0</v>
          </cell>
        </row>
        <row r="242">
          <cell r="A242">
            <v>236200</v>
          </cell>
          <cell r="C242" t="str">
            <v>State Income Taxes Accrued - Current</v>
          </cell>
          <cell r="D242">
            <v>-50439827.65</v>
          </cell>
          <cell r="F242">
            <v>-34409366.77</v>
          </cell>
          <cell r="H242">
            <v>-16030460.88</v>
          </cell>
        </row>
        <row r="243">
          <cell r="A243">
            <v>236250</v>
          </cell>
          <cell r="C243" t="str">
            <v>Taxes Accrued - Taxes other than income</v>
          </cell>
          <cell r="D243">
            <v>-39625267.73</v>
          </cell>
          <cell r="F243">
            <v>-38429537.72</v>
          </cell>
          <cell r="H243">
            <v>-1195730.01</v>
          </cell>
        </row>
        <row r="244">
          <cell r="A244" t="str">
            <v>Taxes Accrued</v>
          </cell>
          <cell r="D244">
            <v>-90065095.38</v>
          </cell>
          <cell r="F244">
            <v>-72838904.49</v>
          </cell>
          <cell r="H244">
            <v>-17226190.89</v>
          </cell>
        </row>
        <row r="245">
          <cell r="H245">
            <v>0</v>
          </cell>
        </row>
        <row r="246">
          <cell r="A246">
            <v>237100</v>
          </cell>
          <cell r="C246" t="str">
            <v>Interest Accrued - Customer Deposits</v>
          </cell>
          <cell r="D246">
            <v>-4800745.7</v>
          </cell>
          <cell r="F246">
            <v>-3861687.27</v>
          </cell>
          <cell r="H246">
            <v>-939058.43</v>
          </cell>
        </row>
        <row r="247">
          <cell r="A247">
            <v>237110</v>
          </cell>
          <cell r="C247" t="str">
            <v>Interest Accrued - Customer Deposits -</v>
          </cell>
          <cell r="D247">
            <v>-26321.83</v>
          </cell>
          <cell r="F247">
            <v>-27755.67</v>
          </cell>
          <cell r="H247">
            <v>1433.84</v>
          </cell>
        </row>
        <row r="248">
          <cell r="A248">
            <v>237200</v>
          </cell>
          <cell r="C248" t="str">
            <v>Interest Accrued - First Mortage Bonds</v>
          </cell>
          <cell r="D248">
            <v>-10177119.46</v>
          </cell>
          <cell r="F248">
            <v>-10454897.23</v>
          </cell>
          <cell r="H248">
            <v>277777.77</v>
          </cell>
        </row>
        <row r="249">
          <cell r="A249">
            <v>237400</v>
          </cell>
          <cell r="C249" t="str">
            <v>Interest Accrued - Other</v>
          </cell>
          <cell r="D249">
            <v>-432554.66</v>
          </cell>
          <cell r="F249">
            <v>-178250.03</v>
          </cell>
          <cell r="H249">
            <v>-254304.63</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-16938840.2</v>
          </cell>
          <cell r="H252">
            <v>-109308.530000001</v>
          </cell>
        </row>
        <row r="253">
          <cell r="H253">
            <v>0</v>
          </cell>
        </row>
        <row r="254">
          <cell r="A254">
            <v>243000</v>
          </cell>
          <cell r="C254" t="str">
            <v>Obligations under Capital Lease - Gener</v>
          </cell>
          <cell r="D254">
            <v>-5952680.07</v>
          </cell>
          <cell r="F254">
            <v>-5494854.27</v>
          </cell>
          <cell r="H254">
            <v>-457825.800000001</v>
          </cell>
        </row>
        <row r="255">
          <cell r="A255" t="str">
            <v>Current Portion of Capital Lease Obligation</v>
          </cell>
          <cell r="D255">
            <v>-5952680.07</v>
          </cell>
          <cell r="F255">
            <v>-5494854.27</v>
          </cell>
          <cell r="H255">
            <v>-457825.800000001</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v>
          </cell>
          <cell r="F258">
            <v>0</v>
          </cell>
          <cell r="H258">
            <v>-13968542.38</v>
          </cell>
        </row>
        <row r="259">
          <cell r="A259" t="str">
            <v>Interest &amp; Tax Liab-Uncertain Tax Positions</v>
          </cell>
          <cell r="D259">
            <v>-67827826.38</v>
          </cell>
          <cell r="F259">
            <v>0</v>
          </cell>
          <cell r="H259">
            <v>-67827826.38</v>
          </cell>
        </row>
        <row r="260">
          <cell r="H260">
            <v>0</v>
          </cell>
        </row>
        <row r="261">
          <cell r="A261">
            <v>235120</v>
          </cell>
          <cell r="C261" t="str">
            <v>Customer Deposits - MD</v>
          </cell>
          <cell r="D261">
            <v>-17716309.61</v>
          </cell>
          <cell r="F261">
            <v>-15221506.88</v>
          </cell>
          <cell r="H261">
            <v>-2494802.73</v>
          </cell>
        </row>
        <row r="262">
          <cell r="A262">
            <v>235140</v>
          </cell>
          <cell r="C262" t="str">
            <v>Customer Deposits - Washington DC</v>
          </cell>
          <cell r="D262">
            <v>-15977464.01</v>
          </cell>
          <cell r="F262">
            <v>-14515760.49</v>
          </cell>
          <cell r="H262">
            <v>-1461703.52</v>
          </cell>
        </row>
        <row r="263">
          <cell r="A263">
            <v>235160</v>
          </cell>
          <cell r="C263" t="str">
            <v>Customer Deposits - Inactive</v>
          </cell>
          <cell r="D263">
            <v>-164591.29</v>
          </cell>
          <cell r="F263">
            <v>-158855.59</v>
          </cell>
          <cell r="H263">
            <v>-5735.70000000001</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v>
          </cell>
          <cell r="H266">
            <v>-83895.99</v>
          </cell>
        </row>
        <row r="267">
          <cell r="A267">
            <v>241300</v>
          </cell>
          <cell r="C267" t="str">
            <v>Maryland Sales Tax Payable</v>
          </cell>
          <cell r="D267">
            <v>-1279147.72</v>
          </cell>
          <cell r="F267">
            <v>-1206294.13</v>
          </cell>
          <cell r="H267">
            <v>-72853.5900000001</v>
          </cell>
        </row>
        <row r="268">
          <cell r="A268">
            <v>241335</v>
          </cell>
          <cell r="C268" t="str">
            <v>Gross Receipts Tax Payable</v>
          </cell>
          <cell r="D268">
            <v>-722664.03</v>
          </cell>
          <cell r="F268">
            <v>0</v>
          </cell>
          <cell r="H268">
            <v>-722664.03</v>
          </cell>
        </row>
        <row r="269">
          <cell r="A269">
            <v>241340</v>
          </cell>
          <cell r="C269" t="str">
            <v>G/R Tax Payable-Washington DC</v>
          </cell>
          <cell r="D269">
            <v>-7261247.89</v>
          </cell>
          <cell r="F269">
            <v>-11386591.02</v>
          </cell>
          <cell r="H269">
            <v>4125343.13</v>
          </cell>
        </row>
        <row r="270">
          <cell r="A270">
            <v>241365</v>
          </cell>
          <cell r="C270" t="str">
            <v>Washington DC Sales Tax Payable</v>
          </cell>
          <cell r="D270">
            <v>-1381638.18</v>
          </cell>
          <cell r="F270">
            <v>-1059179.91</v>
          </cell>
          <cell r="H270">
            <v>-322458.27</v>
          </cell>
        </row>
        <row r="271">
          <cell r="A271">
            <v>241375</v>
          </cell>
          <cell r="C271" t="str">
            <v>Sales Taxes Payable</v>
          </cell>
          <cell r="D271">
            <v>73329.61</v>
          </cell>
          <cell r="F271">
            <v>-201292.1</v>
          </cell>
          <cell r="H271">
            <v>274621.71</v>
          </cell>
        </row>
        <row r="272">
          <cell r="A272">
            <v>241750</v>
          </cell>
          <cell r="C272" t="str">
            <v>PG County Energy Tax Payable</v>
          </cell>
          <cell r="D272">
            <v>-7320778.85</v>
          </cell>
          <cell r="F272">
            <v>-5938644.07</v>
          </cell>
          <cell r="H272">
            <v>-1382134.78</v>
          </cell>
        </row>
        <row r="273">
          <cell r="A273">
            <v>242000</v>
          </cell>
          <cell r="C273" t="str">
            <v>Accrued Liab-General</v>
          </cell>
          <cell r="D273">
            <v>-892127.59</v>
          </cell>
          <cell r="F273">
            <v>-72914309.22</v>
          </cell>
          <cell r="H273">
            <v>72022181.63</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40249.99</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v>
          </cell>
          <cell r="H277">
            <v>-188779.92</v>
          </cell>
        </row>
        <row r="278">
          <cell r="A278">
            <v>242202</v>
          </cell>
          <cell r="C278" t="str">
            <v>Accrued Liabilities - Workers Comp - Cu</v>
          </cell>
          <cell r="D278">
            <v>-4607990.21</v>
          </cell>
          <cell r="F278">
            <v>-4989976.37</v>
          </cell>
          <cell r="H278">
            <v>381986.16</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v>
          </cell>
        </row>
        <row r="281">
          <cell r="A281">
            <v>242209</v>
          </cell>
          <cell r="C281" t="str">
            <v>Accrued Liabilities - Surviving Spouse</v>
          </cell>
          <cell r="D281">
            <v>-68128.32</v>
          </cell>
          <cell r="F281">
            <v>0</v>
          </cell>
          <cell r="H281">
            <v>-68128.32</v>
          </cell>
        </row>
        <row r="282">
          <cell r="A282">
            <v>242300</v>
          </cell>
          <cell r="C282" t="str">
            <v>Accrued Liab-Unclaimed Monies</v>
          </cell>
          <cell r="D282">
            <v>-738880.57</v>
          </cell>
          <cell r="F282">
            <v>-622422.66</v>
          </cell>
          <cell r="H282">
            <v>-116457.91</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v>
          </cell>
          <cell r="F284">
            <v>0</v>
          </cell>
          <cell r="H284">
            <v>-2364572.99</v>
          </cell>
        </row>
        <row r="285">
          <cell r="A285">
            <v>242415</v>
          </cell>
          <cell r="C285" t="str">
            <v>Accrued Severance</v>
          </cell>
          <cell r="D285">
            <v>-20234.07</v>
          </cell>
          <cell r="F285">
            <v>-1479294.18</v>
          </cell>
          <cell r="H285">
            <v>1459060.11</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28136.06</v>
          </cell>
        </row>
        <row r="290">
          <cell r="A290">
            <v>242466</v>
          </cell>
          <cell r="C290" t="str">
            <v>Accrued Liability - Prime Rate Deferred</v>
          </cell>
          <cell r="D290">
            <v>-1191.12</v>
          </cell>
          <cell r="F290">
            <v>-5329.06</v>
          </cell>
          <cell r="H290">
            <v>4137.94</v>
          </cell>
        </row>
        <row r="291">
          <cell r="A291">
            <v>242467</v>
          </cell>
          <cell r="C291" t="str">
            <v>Accrued Liability - Executive</v>
          </cell>
          <cell r="D291">
            <v>-77566.29</v>
          </cell>
          <cell r="F291">
            <v>0</v>
          </cell>
          <cell r="H291">
            <v>-77566.29</v>
          </cell>
        </row>
        <row r="292">
          <cell r="A292">
            <v>242497</v>
          </cell>
          <cell r="C292" t="str">
            <v>Accrued Liab-Sick Pay Carryover</v>
          </cell>
          <cell r="D292">
            <v>-6491635.5</v>
          </cell>
          <cell r="F292">
            <v>-6102686.34</v>
          </cell>
          <cell r="H292">
            <v>-388949.16</v>
          </cell>
        </row>
        <row r="293">
          <cell r="A293">
            <v>242498</v>
          </cell>
          <cell r="C293" t="str">
            <v>Accrued Liab-Vacation</v>
          </cell>
          <cell r="D293">
            <v>-8910628.68</v>
          </cell>
          <cell r="F293">
            <v>-8977717.77</v>
          </cell>
          <cell r="H293">
            <v>67089.0899999999</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-109072.24</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-88903954.41</v>
          </cell>
          <cell r="F301">
            <v>-153570397.53</v>
          </cell>
          <cell r="H301">
            <v>64666443.12</v>
          </cell>
        </row>
        <row r="302">
          <cell r="H302">
            <v>0</v>
          </cell>
        </row>
        <row r="303">
          <cell r="A303" t="str">
            <v>Total</v>
          </cell>
          <cell r="D303">
            <v>-779442562.9</v>
          </cell>
          <cell r="F303">
            <v>-705627843.68</v>
          </cell>
          <cell r="H303">
            <v>-73814719.22</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-12519204.7</v>
          </cell>
          <cell r="H310">
            <v>11606734.99</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v>
          </cell>
          <cell r="F315">
            <v>-3598988.88</v>
          </cell>
          <cell r="H315">
            <v>-3125822.02</v>
          </cell>
        </row>
        <row r="316">
          <cell r="A316">
            <v>254900</v>
          </cell>
          <cell r="C316" t="str">
            <v>SFAS109-Regulatory Liability Electric</v>
          </cell>
          <cell r="D316">
            <v>-21351956.25</v>
          </cell>
          <cell r="F316">
            <v>-29931145.23</v>
          </cell>
          <cell r="H316">
            <v>8579188.98</v>
          </cell>
        </row>
        <row r="317">
          <cell r="A317" t="str">
            <v>Regulatory Liabilities</v>
          </cell>
          <cell r="D317">
            <v>-542466327.77</v>
          </cell>
          <cell r="F317">
            <v>-146761694.44</v>
          </cell>
          <cell r="H317">
            <v>-395704633.33</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180179403.85</v>
          </cell>
          <cell r="F320">
            <v>160135613.75</v>
          </cell>
          <cell r="H320">
            <v>20043790.1</v>
          </cell>
        </row>
        <row r="321">
          <cell r="A321">
            <v>190200</v>
          </cell>
          <cell r="C321" t="str">
            <v>Def Inc Tx-Acc State Def Inc Tax</v>
          </cell>
          <cell r="D321">
            <v>29813096.76</v>
          </cell>
          <cell r="F321">
            <v>24756794.38</v>
          </cell>
          <cell r="H321">
            <v>5056302.38</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-6284924.35</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-651821030.91</v>
          </cell>
          <cell r="F325">
            <v>-638459778.74</v>
          </cell>
          <cell r="H325">
            <v>-13361252.17</v>
          </cell>
        </row>
        <row r="326">
          <cell r="A326">
            <v>282200</v>
          </cell>
          <cell r="C326" t="str">
            <v>Def Inc Tx - Property - State Def Inc T</v>
          </cell>
          <cell r="D326">
            <v>-82132945.48</v>
          </cell>
          <cell r="F326">
            <v>-86651572.48</v>
          </cell>
          <cell r="H326">
            <v>4518627</v>
          </cell>
        </row>
        <row r="327">
          <cell r="A327">
            <v>283100</v>
          </cell>
          <cell r="C327" t="str">
            <v>Def Inc Tax-Other-Fed Def Inc Tax</v>
          </cell>
          <cell r="D327">
            <v>-96125984.05</v>
          </cell>
          <cell r="F327">
            <v>-104099069.86</v>
          </cell>
          <cell r="H327">
            <v>7973085.81</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-12507526.94</v>
          </cell>
          <cell r="F329">
            <v>-13550916.48</v>
          </cell>
          <cell r="H329">
            <v>1043389.54</v>
          </cell>
        </row>
        <row r="330">
          <cell r="A330" t="str">
            <v>Deferred Income Taxes</v>
          </cell>
          <cell r="D330">
            <v>-619192903.7</v>
          </cell>
          <cell r="F330">
            <v>-636249839.43</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v>
          </cell>
          <cell r="F339">
            <v>0</v>
          </cell>
          <cell r="H339">
            <v>-104822715.04</v>
          </cell>
        </row>
        <row r="340">
          <cell r="A340">
            <v>283760</v>
          </cell>
          <cell r="C340" t="str">
            <v>State Income Tax Payable-Non-current</v>
          </cell>
          <cell r="D340">
            <v>-24175915.79</v>
          </cell>
          <cell r="F340">
            <v>0</v>
          </cell>
          <cell r="H340">
            <v>-24175915.79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-22480988.79</v>
          </cell>
          <cell r="F343">
            <v>-19872171.11</v>
          </cell>
          <cell r="H343">
            <v>-2608817.68</v>
          </cell>
        </row>
        <row r="344">
          <cell r="A344">
            <v>242218</v>
          </cell>
          <cell r="C344" t="str">
            <v>Accrued Liabilities - Disability - Long</v>
          </cell>
          <cell r="D344">
            <v>-9672665.6</v>
          </cell>
          <cell r="F344">
            <v>-10479383.97</v>
          </cell>
          <cell r="H344">
            <v>806718.370000001</v>
          </cell>
        </row>
        <row r="345">
          <cell r="A345">
            <v>242219</v>
          </cell>
          <cell r="C345" t="str">
            <v>Accrued Liabilities - Surviving Spouse</v>
          </cell>
          <cell r="D345">
            <v>-665385.68</v>
          </cell>
          <cell r="F345">
            <v>0</v>
          </cell>
          <cell r="H345">
            <v>-665385.68</v>
          </cell>
        </row>
        <row r="346">
          <cell r="A346">
            <v>242410</v>
          </cell>
          <cell r="C346" t="str">
            <v>Acc Liab - Deffered Comp-Old Plans</v>
          </cell>
          <cell r="D346">
            <v>0</v>
          </cell>
          <cell r="F346">
            <v>-18886044.15</v>
          </cell>
          <cell r="H346">
            <v>18886044.15</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71185.7599999998</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-57351015.61</v>
          </cell>
          <cell r="F351">
            <v>-69320331.79</v>
          </cell>
          <cell r="H351">
            <v>11969316.18</v>
          </cell>
        </row>
        <row r="352">
          <cell r="A352">
            <v>253000</v>
          </cell>
          <cell r="C352" t="str">
            <v>Deferred Credits-General</v>
          </cell>
          <cell r="D352">
            <v>-1026282.3</v>
          </cell>
          <cell r="F352">
            <v>-1023299.89</v>
          </cell>
          <cell r="H352">
            <v>-2982.41000000003</v>
          </cell>
        </row>
        <row r="353">
          <cell r="A353">
            <v>253020</v>
          </cell>
          <cell r="C353" t="str">
            <v>Deferred Credit-Customer Deposits-Spec</v>
          </cell>
          <cell r="D353">
            <v>-55200.03</v>
          </cell>
          <cell r="F353">
            <v>-75299.85</v>
          </cell>
          <cell r="H353">
            <v>20099.82</v>
          </cell>
        </row>
        <row r="354">
          <cell r="A354">
            <v>253021</v>
          </cell>
          <cell r="C354" t="str">
            <v>Deferred Credit-Customer Deposits-Spec</v>
          </cell>
          <cell r="D354">
            <v>-3038085.4</v>
          </cell>
          <cell r="F354">
            <v>-918205.7</v>
          </cell>
          <cell r="H354">
            <v>-2119879.7</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v>
          </cell>
          <cell r="F356">
            <v>-49399.65</v>
          </cell>
          <cell r="H356">
            <v>22001.41</v>
          </cell>
        </row>
        <row r="357">
          <cell r="A357">
            <v>253307</v>
          </cell>
          <cell r="C357" t="str">
            <v>Acc Liab - Deffered Comp LT -Old Plans</v>
          </cell>
          <cell r="D357">
            <v>-18678940.56</v>
          </cell>
          <cell r="F357">
            <v>0</v>
          </cell>
          <cell r="H357">
            <v>-18678940.56</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v>
          </cell>
        </row>
        <row r="363">
          <cell r="H363">
            <v>0</v>
          </cell>
        </row>
        <row r="364">
          <cell r="A364" t="str">
            <v>Total</v>
          </cell>
          <cell r="D364">
            <v>-1430620714.21</v>
          </cell>
          <cell r="F364">
            <v>-932890945.59</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2101919.05</v>
          </cell>
          <cell r="F370">
            <v>1825500.41</v>
          </cell>
          <cell r="H370">
            <v>276418.64</v>
          </cell>
        </row>
        <row r="371">
          <cell r="A371" t="str">
            <v>Long-term Debt</v>
          </cell>
          <cell r="D371">
            <v>-1111698080.95</v>
          </cell>
          <cell r="F371">
            <v>-989974499.59</v>
          </cell>
          <cell r="H371">
            <v>-121723581.36</v>
          </cell>
        </row>
        <row r="372">
          <cell r="H372">
            <v>0</v>
          </cell>
        </row>
        <row r="373">
          <cell r="A373">
            <v>227000</v>
          </cell>
          <cell r="C373" t="str">
            <v>Obligations under Capital Lease - Noncu</v>
          </cell>
          <cell r="D373">
            <v>-105179418.7</v>
          </cell>
          <cell r="F373">
            <v>-110930327.96</v>
          </cell>
          <cell r="H373">
            <v>5750909.25999999</v>
          </cell>
        </row>
        <row r="374">
          <cell r="A374" t="str">
            <v>Long-term Capital Lease Obligation</v>
          </cell>
          <cell r="D374">
            <v>-105179418.7</v>
          </cell>
          <cell r="F374">
            <v>-110930327.96</v>
          </cell>
          <cell r="H374">
            <v>5750909.25999999</v>
          </cell>
        </row>
        <row r="375">
          <cell r="H375">
            <v>0</v>
          </cell>
        </row>
        <row r="376">
          <cell r="A376" t="str">
            <v>Long-term Debt</v>
          </cell>
          <cell r="D376">
            <v>-1216877499.65</v>
          </cell>
          <cell r="F376">
            <v>-1100904827.55</v>
          </cell>
          <cell r="H376">
            <v>-115972672.1</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v>
          </cell>
          <cell r="F386">
            <v>-24639705.92</v>
          </cell>
          <cell r="H386">
            <v>-1881436</v>
          </cell>
        </row>
        <row r="387">
          <cell r="A387" t="str">
            <v>Additional P.I.C. Common</v>
          </cell>
          <cell r="D387">
            <v>-533405881.83</v>
          </cell>
          <cell r="F387">
            <v>-531524445.83</v>
          </cell>
          <cell r="H387">
            <v>-1881436</v>
          </cell>
        </row>
        <row r="388">
          <cell r="H388">
            <v>0</v>
          </cell>
        </row>
        <row r="389">
          <cell r="A389">
            <v>216000</v>
          </cell>
          <cell r="C389" t="str">
            <v>Unappropriated Retained Earnings - Gene</v>
          </cell>
          <cell r="D389">
            <v>-557829996.02</v>
          </cell>
          <cell r="F389">
            <v>-574325376.19</v>
          </cell>
          <cell r="H389">
            <v>16495380.1700001</v>
          </cell>
        </row>
        <row r="390">
          <cell r="A390">
            <v>216200</v>
          </cell>
          <cell r="C390" t="str">
            <v>Dividends Declared-Common Stock</v>
          </cell>
          <cell r="D390">
            <v>86000000</v>
          </cell>
          <cell r="F390">
            <v>99000000</v>
          </cell>
          <cell r="H390">
            <v>-13000000</v>
          </cell>
        </row>
        <row r="391">
          <cell r="A391" t="str">
            <v>Retained Earnings</v>
          </cell>
          <cell r="D391">
            <v>-471829996.02</v>
          </cell>
          <cell r="F391">
            <v>-475325376.19</v>
          </cell>
          <cell r="H391">
            <v>3495380.17000002</v>
          </cell>
        </row>
        <row r="392">
          <cell r="H392">
            <v>0</v>
          </cell>
        </row>
        <row r="393">
          <cell r="A393" t="str">
            <v>Total</v>
          </cell>
          <cell r="D393">
            <v>-1005235878.85</v>
          </cell>
          <cell r="F393">
            <v>-1006849823.02</v>
          </cell>
          <cell r="H393">
            <v>1613944.16999996</v>
          </cell>
        </row>
        <row r="394">
          <cell r="H394">
            <v>0</v>
          </cell>
        </row>
        <row r="395">
          <cell r="A395" t="str">
            <v>Profit for the Period</v>
          </cell>
          <cell r="D395">
            <v>-125058872.2</v>
          </cell>
          <cell r="F395">
            <v>-84343909.96</v>
          </cell>
          <cell r="H395">
            <v>-40714962.24</v>
          </cell>
        </row>
        <row r="396">
          <cell r="H396">
            <v>0</v>
          </cell>
        </row>
        <row r="397">
          <cell r="A397" t="str">
            <v>Total Capitalization &amp; Liabilities</v>
          </cell>
          <cell r="D397">
            <v>-4557235527.81</v>
          </cell>
          <cell r="F397">
            <v>-3830617349.8</v>
          </cell>
          <cell r="H397">
            <v>-726618178.01</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v>
          </cell>
          <cell r="H414">
            <v>-182472773.13</v>
          </cell>
        </row>
        <row r="415">
          <cell r="A415">
            <v>511150</v>
          </cell>
          <cell r="C415" t="str">
            <v>Rev-Residential Electric-Administrative</v>
          </cell>
          <cell r="D415">
            <v>13365583.81</v>
          </cell>
          <cell r="F415">
            <v>13498807.96</v>
          </cell>
          <cell r="H415">
            <v>-133224.15</v>
          </cell>
        </row>
        <row r="416">
          <cell r="A416">
            <v>511175</v>
          </cell>
          <cell r="C416" t="str">
            <v>Rev-Residential-Procurement Cost Adjust</v>
          </cell>
          <cell r="D416">
            <v>-19012212.44</v>
          </cell>
          <cell r="F416">
            <v>-22673628.57</v>
          </cell>
          <cell r="H416">
            <v>3661416.13</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v>
          </cell>
          <cell r="H421">
            <v>192284.4</v>
          </cell>
        </row>
        <row r="422">
          <cell r="A422">
            <v>512100</v>
          </cell>
          <cell r="C422" t="str">
            <v>Rev-Comm Elec - Secondary</v>
          </cell>
          <cell r="D422">
            <v>-997054934.6</v>
          </cell>
          <cell r="F422">
            <v>-1232725890.55</v>
          </cell>
          <cell r="H422">
            <v>235670955.95</v>
          </cell>
        </row>
        <row r="423">
          <cell r="A423">
            <v>512150</v>
          </cell>
          <cell r="C423" t="str">
            <v>Rev-Comm Electric-Administrative Credit</v>
          </cell>
          <cell r="D423">
            <v>8481860.42</v>
          </cell>
          <cell r="F423">
            <v>28937308.02</v>
          </cell>
          <cell r="H423">
            <v>-20455447.6</v>
          </cell>
        </row>
        <row r="424">
          <cell r="A424">
            <v>512175</v>
          </cell>
          <cell r="C424" t="str">
            <v>Rev-Commercial-Procurement Cost Adjustm</v>
          </cell>
          <cell r="D424">
            <v>5948951.06</v>
          </cell>
          <cell r="F424">
            <v>-10400126.97</v>
          </cell>
          <cell r="H424">
            <v>16349078.03</v>
          </cell>
        </row>
        <row r="425">
          <cell r="A425">
            <v>512200</v>
          </cell>
          <cell r="C425" t="str">
            <v>Rev-Comm Elec - Primary</v>
          </cell>
          <cell r="D425">
            <v>-1606.44</v>
          </cell>
          <cell r="F425">
            <v>-8096.3</v>
          </cell>
          <cell r="H425">
            <v>6489.86</v>
          </cell>
        </row>
        <row r="426">
          <cell r="A426">
            <v>512400</v>
          </cell>
          <cell r="C426" t="str">
            <v>Rev-Comm Elec Unbilled</v>
          </cell>
          <cell r="D426">
            <v>5670277</v>
          </cell>
          <cell r="F426">
            <v>14210774.29</v>
          </cell>
          <cell r="H426">
            <v>-8540497.29</v>
          </cell>
        </row>
        <row r="427">
          <cell r="A427">
            <v>512450</v>
          </cell>
          <cell r="C427" t="str">
            <v>Rev-Comm Elec-Administrative Credit - U</v>
          </cell>
          <cell r="D427">
            <v>-197154</v>
          </cell>
          <cell r="F427">
            <v>-229689.98</v>
          </cell>
          <cell r="H427">
            <v>32535.98</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-6103022.35</v>
          </cell>
          <cell r="F429">
            <v>-5341458.39</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v>
          </cell>
          <cell r="F432">
            <v>-6945036.91</v>
          </cell>
          <cell r="H432">
            <v>-258542.87</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v>
          </cell>
          <cell r="F435">
            <v>-639007.08</v>
          </cell>
          <cell r="H435">
            <v>-17354046.11</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-2350538.89</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v>
          </cell>
          <cell r="F440">
            <v>-93397448.27</v>
          </cell>
          <cell r="H440">
            <v>2906734.50999999</v>
          </cell>
        </row>
        <row r="441">
          <cell r="A441">
            <v>516217</v>
          </cell>
          <cell r="C441" t="str">
            <v>Rev-System-Auction Revenue Rights</v>
          </cell>
          <cell r="D441">
            <v>-311802.3</v>
          </cell>
          <cell r="F441">
            <v>0</v>
          </cell>
          <cell r="H441">
            <v>-311802.3</v>
          </cell>
        </row>
        <row r="442">
          <cell r="A442">
            <v>516218</v>
          </cell>
          <cell r="C442" t="str">
            <v>Rev-System-Capacity</v>
          </cell>
          <cell r="D442">
            <v>-7257243.48</v>
          </cell>
          <cell r="F442">
            <v>0</v>
          </cell>
          <cell r="H442">
            <v>-7257243.48</v>
          </cell>
        </row>
        <row r="443">
          <cell r="A443">
            <v>518100</v>
          </cell>
          <cell r="C443" t="str">
            <v>Rev-Unbilled Elec</v>
          </cell>
          <cell r="D443">
            <v>0</v>
          </cell>
          <cell r="F443">
            <v>36013</v>
          </cell>
          <cell r="H443">
            <v>-36013</v>
          </cell>
        </row>
        <row r="444">
          <cell r="A444">
            <v>519100</v>
          </cell>
          <cell r="C444" t="str">
            <v>Rev-Late Payments - Elec</v>
          </cell>
          <cell r="D444">
            <v>-6722850.09</v>
          </cell>
          <cell r="F444">
            <v>-5563146.05</v>
          </cell>
          <cell r="H444">
            <v>-1159704.04</v>
          </cell>
        </row>
        <row r="445">
          <cell r="A445">
            <v>519500</v>
          </cell>
          <cell r="C445" t="str">
            <v>Rev-Misc Service Revenue - Electric</v>
          </cell>
          <cell r="D445">
            <v>-764396.41</v>
          </cell>
          <cell r="F445">
            <v>-867662.06</v>
          </cell>
          <cell r="H445">
            <v>103265.65</v>
          </cell>
        </row>
        <row r="446">
          <cell r="A446">
            <v>520100</v>
          </cell>
          <cell r="C446" t="str">
            <v>Rev-Rent Electric/Gas</v>
          </cell>
          <cell r="D446">
            <v>-13097456.53</v>
          </cell>
          <cell r="F446">
            <v>-12153865.91</v>
          </cell>
          <cell r="H446">
            <v>-943590.619999999</v>
          </cell>
        </row>
        <row r="447">
          <cell r="A447">
            <v>520500</v>
          </cell>
          <cell r="C447" t="str">
            <v>Rev-Other Rev Electric</v>
          </cell>
          <cell r="D447">
            <v>-4490038.98</v>
          </cell>
          <cell r="F447">
            <v>-1436225.08</v>
          </cell>
          <cell r="H447">
            <v>-3053813.9</v>
          </cell>
        </row>
        <row r="448">
          <cell r="A448">
            <v>520510</v>
          </cell>
          <cell r="C448" t="str">
            <v>Rev-Scheduling, System Control &amp; Dispat</v>
          </cell>
          <cell r="D448">
            <v>-626625.81</v>
          </cell>
          <cell r="F448">
            <v>-600860.35</v>
          </cell>
          <cell r="H448">
            <v>-25765.4600000001</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-1100295.32</v>
          </cell>
        </row>
        <row r="451">
          <cell r="A451">
            <v>520520</v>
          </cell>
          <cell r="C451" t="str">
            <v>Rev-Transmission Service - Non-firm</v>
          </cell>
          <cell r="D451">
            <v>-354292.08</v>
          </cell>
          <cell r="F451">
            <v>-669419.59</v>
          </cell>
          <cell r="H451">
            <v>315127.51</v>
          </cell>
        </row>
        <row r="452">
          <cell r="A452">
            <v>633500</v>
          </cell>
          <cell r="C452" t="str">
            <v>Revenue-Property Claims Billed-Electric</v>
          </cell>
          <cell r="D452">
            <v>-3083495.81</v>
          </cell>
          <cell r="F452">
            <v>-3273177.93</v>
          </cell>
          <cell r="H452">
            <v>189682.12</v>
          </cell>
        </row>
        <row r="453">
          <cell r="A453">
            <v>633535</v>
          </cell>
          <cell r="C453" t="str">
            <v>Revenue-Other Accounts Receivable Bille</v>
          </cell>
          <cell r="D453">
            <v>-2135439.4</v>
          </cell>
          <cell r="F453">
            <v>-3974784.08</v>
          </cell>
          <cell r="H453">
            <v>1839344.68</v>
          </cell>
        </row>
        <row r="454">
          <cell r="A454">
            <v>633570</v>
          </cell>
          <cell r="C454" t="str">
            <v>Revenue-Settlements-Special Billing-Ele</v>
          </cell>
          <cell r="D454">
            <v>195026.81</v>
          </cell>
          <cell r="F454">
            <v>17630.15</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v>
          </cell>
        </row>
        <row r="457">
          <cell r="A457">
            <v>633635</v>
          </cell>
          <cell r="C457" t="str">
            <v>Revenue-Other Accounts Receivable Unbil</v>
          </cell>
          <cell r="D457">
            <v>-329211.09</v>
          </cell>
          <cell r="F457">
            <v>544453.93</v>
          </cell>
          <cell r="H457">
            <v>-873665.02</v>
          </cell>
        </row>
        <row r="458">
          <cell r="A458">
            <v>633660</v>
          </cell>
          <cell r="C458" t="str">
            <v>Revenue-Sales Slips</v>
          </cell>
          <cell r="D458">
            <v>-2570339.77</v>
          </cell>
          <cell r="F458">
            <v>-2183634.78</v>
          </cell>
          <cell r="H458">
            <v>-386704.99</v>
          </cell>
        </row>
        <row r="459">
          <cell r="A459">
            <v>751315</v>
          </cell>
          <cell r="C459" t="str">
            <v>Administrative Credit - MD SOS</v>
          </cell>
          <cell r="D459">
            <v>4103688.26</v>
          </cell>
          <cell r="F459">
            <v>-4703396.94</v>
          </cell>
          <cell r="H459">
            <v>8807085.2</v>
          </cell>
        </row>
        <row r="460">
          <cell r="A460" t="str">
            <v>Regulated Electric Revenue</v>
          </cell>
          <cell r="D460">
            <v>-2199065741.48</v>
          </cell>
          <cell r="F460">
            <v>-2214937984.76</v>
          </cell>
          <cell r="H460">
            <v>15872243.2800002</v>
          </cell>
        </row>
        <row r="461">
          <cell r="A461" t="str">
            <v>Total Utility Revenue</v>
          </cell>
          <cell r="D461">
            <v>-2199065741.48</v>
          </cell>
          <cell r="F461">
            <v>-2214937984.76</v>
          </cell>
          <cell r="H461">
            <v>15872243.2800002</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v>
          </cell>
        </row>
        <row r="468">
          <cell r="A468" t="str">
            <v>Total Competitive Operations</v>
          </cell>
          <cell r="D468">
            <v>-1647328</v>
          </cell>
          <cell r="F468">
            <v>-1525571.18</v>
          </cell>
          <cell r="H468">
            <v>-121756.82</v>
          </cell>
        </row>
        <row r="469">
          <cell r="H469">
            <v>0</v>
          </cell>
        </row>
        <row r="470">
          <cell r="A470">
            <v>400100</v>
          </cell>
          <cell r="C470" t="str">
            <v>Inter Company-Revenues</v>
          </cell>
          <cell r="D470">
            <v>-140772.87</v>
          </cell>
          <cell r="F470">
            <v>-48036.29</v>
          </cell>
          <cell r="H470">
            <v>-92736.58</v>
          </cell>
        </row>
        <row r="471">
          <cell r="A471">
            <v>420100</v>
          </cell>
          <cell r="C471" t="str">
            <v>Intra Company-Co Use Revenue</v>
          </cell>
          <cell r="D471">
            <v>0</v>
          </cell>
          <cell r="F471">
            <v>-78818.72</v>
          </cell>
          <cell r="H471">
            <v>78818.72</v>
          </cell>
        </row>
        <row r="472">
          <cell r="A472">
            <v>420101</v>
          </cell>
          <cell r="C472" t="str">
            <v>Inter Company-Lease Revenue-Buildings</v>
          </cell>
          <cell r="D472">
            <v>-2685781.28</v>
          </cell>
          <cell r="F472">
            <v>-1884970.15</v>
          </cell>
          <cell r="H472">
            <v>-800811.13</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-146087.33</v>
          </cell>
          <cell r="H474">
            <v>75586.08</v>
          </cell>
        </row>
        <row r="475">
          <cell r="A475" t="str">
            <v>Inter Company Revenues</v>
          </cell>
          <cell r="D475">
            <v>-3745772.4</v>
          </cell>
          <cell r="F475">
            <v>-3006629.49</v>
          </cell>
          <cell r="H475">
            <v>-739142.91</v>
          </cell>
        </row>
        <row r="476">
          <cell r="A476">
            <v>420201</v>
          </cell>
          <cell r="C476" t="str">
            <v>Inter Company-Lease Expense-Buildings</v>
          </cell>
          <cell r="D476">
            <v>3577934.93</v>
          </cell>
          <cell r="F476">
            <v>5093547.5</v>
          </cell>
          <cell r="H476">
            <v>-1515612.57</v>
          </cell>
        </row>
        <row r="477">
          <cell r="A477">
            <v>427260</v>
          </cell>
          <cell r="C477" t="str">
            <v>I/C Power Purchases-Pepco/CESI</v>
          </cell>
          <cell r="D477">
            <v>63321121.09</v>
          </cell>
          <cell r="F477">
            <v>35645455.44</v>
          </cell>
          <cell r="H477">
            <v>27675665.65</v>
          </cell>
        </row>
        <row r="478">
          <cell r="A478" t="str">
            <v>Inter Company Expenses</v>
          </cell>
          <cell r="D478">
            <v>66899056.02</v>
          </cell>
          <cell r="F478">
            <v>40739002.94</v>
          </cell>
          <cell r="H478">
            <v>26160053.08</v>
          </cell>
        </row>
        <row r="479">
          <cell r="A479" t="str">
            <v>Total Inter Company</v>
          </cell>
          <cell r="D479">
            <v>63153283.62</v>
          </cell>
          <cell r="F479">
            <v>37732373.45</v>
          </cell>
          <cell r="H479">
            <v>25420910.17</v>
          </cell>
        </row>
        <row r="480">
          <cell r="H480">
            <v>0</v>
          </cell>
        </row>
        <row r="481">
          <cell r="A481" t="str">
            <v>Total Operating Revenue</v>
          </cell>
          <cell r="D481">
            <v>-2137559785.86</v>
          </cell>
          <cell r="F481">
            <v>-2178731182.49</v>
          </cell>
          <cell r="H481">
            <v>41171396.6299999</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v>
          </cell>
        </row>
        <row r="490">
          <cell r="A490">
            <v>751010</v>
          </cell>
          <cell r="C490" t="str">
            <v>Purchased Power - System Marketers</v>
          </cell>
          <cell r="D490">
            <v>1093930517.8</v>
          </cell>
          <cell r="F490">
            <v>1158804056.16</v>
          </cell>
          <cell r="H490">
            <v>-64873538.3600001</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v>
          </cell>
          <cell r="F492">
            <v>30604498.36</v>
          </cell>
          <cell r="H492">
            <v>-8225633.22</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v>
          </cell>
          <cell r="F497">
            <v>999995.78</v>
          </cell>
          <cell r="H497">
            <v>10938931.85</v>
          </cell>
        </row>
        <row r="498">
          <cell r="A498">
            <v>751026</v>
          </cell>
          <cell r="C498" t="str">
            <v>Purchased Power-Sys Network Transmissio</v>
          </cell>
          <cell r="D498">
            <v>39064418.81</v>
          </cell>
          <cell r="F498">
            <v>50808629.1</v>
          </cell>
          <cell r="H498">
            <v>-11744210.29</v>
          </cell>
        </row>
        <row r="499">
          <cell r="A499">
            <v>751250</v>
          </cell>
          <cell r="C499" t="str">
            <v>Deferred Purchased Power Expense - SOS</v>
          </cell>
          <cell r="D499">
            <v>-13231305.18</v>
          </cell>
          <cell r="F499">
            <v>14409925.2</v>
          </cell>
          <cell r="H499">
            <v>-27641230.38</v>
          </cell>
        </row>
        <row r="500">
          <cell r="A500">
            <v>751251</v>
          </cell>
          <cell r="C500" t="str">
            <v>Deferred Transmission Expenses - SOS</v>
          </cell>
          <cell r="D500">
            <v>1217257.05</v>
          </cell>
          <cell r="F500">
            <v>2042653.23</v>
          </cell>
          <cell r="H500">
            <v>-825396.18</v>
          </cell>
        </row>
        <row r="501">
          <cell r="A501" t="str">
            <v>Regulated Electric Fuel &amp; Purchased Power</v>
          </cell>
          <cell r="D501">
            <v>1162659067.2</v>
          </cell>
          <cell r="F501">
            <v>1263565821.83</v>
          </cell>
          <cell r="H501">
            <v>-100906754.63</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19839990.86</v>
          </cell>
          <cell r="F507">
            <v>503715.87</v>
          </cell>
          <cell r="H507">
            <v>19336274.99</v>
          </cell>
        </row>
        <row r="508">
          <cell r="A508" t="str">
            <v>Purchased Capacity</v>
          </cell>
          <cell r="D508">
            <v>19841395.39</v>
          </cell>
          <cell r="F508">
            <v>506309.87</v>
          </cell>
          <cell r="H508">
            <v>19335085.52</v>
          </cell>
        </row>
        <row r="509">
          <cell r="A509" t="str">
            <v>Total Fuel and Purchased Energy</v>
          </cell>
          <cell r="D509">
            <v>1182503817.51</v>
          </cell>
          <cell r="F509">
            <v>1264090330.61</v>
          </cell>
          <cell r="H509">
            <v>-81586513.0999999</v>
          </cell>
        </row>
        <row r="510">
          <cell r="H510">
            <v>0</v>
          </cell>
        </row>
        <row r="511">
          <cell r="A511">
            <v>710005</v>
          </cell>
          <cell r="C511" t="str">
            <v>Salaries-Base Wages</v>
          </cell>
          <cell r="D511">
            <v>90346550.36</v>
          </cell>
          <cell r="F511">
            <v>92449873.9</v>
          </cell>
          <cell r="H511">
            <v>-2103323.54000001</v>
          </cell>
        </row>
        <row r="512">
          <cell r="A512">
            <v>710010</v>
          </cell>
          <cell r="C512" t="str">
            <v>Salaries-Overtime</v>
          </cell>
          <cell r="D512">
            <v>17572231.23</v>
          </cell>
          <cell r="F512">
            <v>13062258.6</v>
          </cell>
          <cell r="H512">
            <v>4509972.63</v>
          </cell>
        </row>
        <row r="513">
          <cell r="A513">
            <v>710015</v>
          </cell>
          <cell r="C513" t="str">
            <v>Salaries-Meal Allowance</v>
          </cell>
          <cell r="D513">
            <v>636359.12</v>
          </cell>
          <cell r="F513">
            <v>460996.03</v>
          </cell>
          <cell r="H513">
            <v>175363.09</v>
          </cell>
        </row>
        <row r="514">
          <cell r="A514">
            <v>710016</v>
          </cell>
          <cell r="C514" t="str">
            <v>Salaries-Auto Allowance</v>
          </cell>
          <cell r="D514">
            <v>184071.28</v>
          </cell>
          <cell r="F514">
            <v>191055.52</v>
          </cell>
          <cell r="H514">
            <v>-6984.23999999999</v>
          </cell>
        </row>
        <row r="515">
          <cell r="A515">
            <v>710017</v>
          </cell>
          <cell r="C515" t="str">
            <v>Salaries-Vehicle Commuting Fee</v>
          </cell>
          <cell r="D515">
            <v>-54766.07</v>
          </cell>
          <cell r="F515">
            <v>-51065.89</v>
          </cell>
          <cell r="H515">
            <v>-3700.18</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v>
          </cell>
        </row>
        <row r="518">
          <cell r="A518">
            <v>710030</v>
          </cell>
          <cell r="C518" t="str">
            <v>Salaries-Other</v>
          </cell>
          <cell r="D518">
            <v>63998.32</v>
          </cell>
          <cell r="F518">
            <v>-65005.12</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577581.08</v>
          </cell>
          <cell r="F523">
            <v>681823.24</v>
          </cell>
          <cell r="H523">
            <v>-104242.16</v>
          </cell>
        </row>
        <row r="524">
          <cell r="A524">
            <v>710060</v>
          </cell>
          <cell r="C524" t="str">
            <v>Salaries-Incentive-AIP / MVIP</v>
          </cell>
          <cell r="D524">
            <v>1933404.47</v>
          </cell>
          <cell r="F524">
            <v>-864740</v>
          </cell>
          <cell r="H524">
            <v>2798144.47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5549689.18</v>
          </cell>
          <cell r="F528">
            <v>2296111.51</v>
          </cell>
          <cell r="H528">
            <v>3253577.67</v>
          </cell>
        </row>
        <row r="529">
          <cell r="A529" t="str">
            <v>Salary</v>
          </cell>
          <cell r="D529">
            <v>117056608.98</v>
          </cell>
          <cell r="F529">
            <v>109936978.5</v>
          </cell>
          <cell r="H529">
            <v>7119630.48</v>
          </cell>
        </row>
        <row r="530">
          <cell r="A530">
            <v>720005</v>
          </cell>
          <cell r="C530" t="str">
            <v>Benefits-FICA / Medicare</v>
          </cell>
          <cell r="D530">
            <v>8153682.57</v>
          </cell>
          <cell r="F530">
            <v>8133246.28</v>
          </cell>
          <cell r="H530">
            <v>20436.29</v>
          </cell>
        </row>
        <row r="531">
          <cell r="A531">
            <v>720010</v>
          </cell>
          <cell r="C531" t="str">
            <v>Benefit-Federal Unemployment Insurance</v>
          </cell>
          <cell r="D531">
            <v>85091.77</v>
          </cell>
          <cell r="F531">
            <v>86801.21</v>
          </cell>
          <cell r="H531">
            <v>-1709.44</v>
          </cell>
        </row>
        <row r="532">
          <cell r="A532">
            <v>720015</v>
          </cell>
          <cell r="C532" t="str">
            <v>Benefit-State Unemployment Insurance</v>
          </cell>
          <cell r="D532">
            <v>152388.46</v>
          </cell>
          <cell r="F532">
            <v>189344.55</v>
          </cell>
          <cell r="H532">
            <v>-36956.09</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v>
          </cell>
        </row>
        <row r="537">
          <cell r="A537">
            <v>721025</v>
          </cell>
          <cell r="C537" t="str">
            <v>Benefit-Workmens Comp</v>
          </cell>
          <cell r="D537">
            <v>5868702.71</v>
          </cell>
          <cell r="F537">
            <v>5474363.56</v>
          </cell>
          <cell r="H537">
            <v>394339.15</v>
          </cell>
        </row>
        <row r="538">
          <cell r="A538">
            <v>721030</v>
          </cell>
          <cell r="C538" t="str">
            <v>Benefit-Savings &amp; Thrift</v>
          </cell>
          <cell r="D538">
            <v>2305100.19</v>
          </cell>
          <cell r="F538">
            <v>2387610.26</v>
          </cell>
          <cell r="H538">
            <v>-82510.0699999998</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574880.83</v>
          </cell>
          <cell r="F544">
            <v>615457.29</v>
          </cell>
          <cell r="H544">
            <v>-40576.4600000001</v>
          </cell>
        </row>
        <row r="545">
          <cell r="A545">
            <v>721075</v>
          </cell>
          <cell r="C545" t="str">
            <v>Benefit-Spending Accounts</v>
          </cell>
          <cell r="D545">
            <v>31992.06</v>
          </cell>
          <cell r="F545">
            <v>60531.02</v>
          </cell>
          <cell r="H545">
            <v>-28538.96</v>
          </cell>
        </row>
        <row r="546">
          <cell r="A546">
            <v>721080</v>
          </cell>
          <cell r="C546" t="str">
            <v>Benefit-Employee Association</v>
          </cell>
          <cell r="D546">
            <v>131435</v>
          </cell>
          <cell r="F546">
            <v>109902.21</v>
          </cell>
          <cell r="H546">
            <v>21532.79</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v>
          </cell>
          <cell r="H549">
            <v>-5902.7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v>
          </cell>
          <cell r="H551">
            <v>-2187426.62</v>
          </cell>
        </row>
        <row r="552">
          <cell r="A552">
            <v>721096</v>
          </cell>
          <cell r="C552" t="str">
            <v>Benefit-Allocated from Total Corporate</v>
          </cell>
          <cell r="D552">
            <v>15256699.42</v>
          </cell>
          <cell r="F552">
            <v>16067438.15</v>
          </cell>
          <cell r="H552">
            <v>-810738.73</v>
          </cell>
        </row>
        <row r="553">
          <cell r="A553">
            <v>721098</v>
          </cell>
          <cell r="C553" t="str">
            <v>Benefit-Employee Contributions</v>
          </cell>
          <cell r="D553">
            <v>-1789075.85</v>
          </cell>
          <cell r="F553">
            <v>-1676147.46</v>
          </cell>
          <cell r="H553">
            <v>-112928.39</v>
          </cell>
        </row>
        <row r="554">
          <cell r="A554">
            <v>721099</v>
          </cell>
          <cell r="C554" t="str">
            <v>Benefit-Offset of Actual Expenses</v>
          </cell>
          <cell r="D554">
            <v>-33179002.38</v>
          </cell>
          <cell r="F554">
            <v>-33897960.15</v>
          </cell>
          <cell r="H554">
            <v>718957.77</v>
          </cell>
        </row>
        <row r="555">
          <cell r="A555">
            <v>722000</v>
          </cell>
          <cell r="C555" t="str">
            <v>Benefit-Accrued Expenses</v>
          </cell>
          <cell r="D555">
            <v>33677952.72</v>
          </cell>
          <cell r="F555">
            <v>33639960.15</v>
          </cell>
          <cell r="H555">
            <v>37992.5700000003</v>
          </cell>
        </row>
        <row r="556">
          <cell r="A556">
            <v>723000</v>
          </cell>
          <cell r="C556" t="str">
            <v>Benefit-Other</v>
          </cell>
          <cell r="D556">
            <v>116636.7</v>
          </cell>
          <cell r="F556">
            <v>-849287.3</v>
          </cell>
          <cell r="H556">
            <v>965924</v>
          </cell>
        </row>
        <row r="557">
          <cell r="A557" t="str">
            <v>Benefits</v>
          </cell>
          <cell r="D557">
            <v>54852071.08</v>
          </cell>
          <cell r="F557">
            <v>66000071.14</v>
          </cell>
          <cell r="H557">
            <v>-11148000.06</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25109669.22</v>
          </cell>
          <cell r="H559">
            <v>-11032170.3</v>
          </cell>
        </row>
        <row r="560">
          <cell r="A560">
            <v>730008</v>
          </cell>
          <cell r="C560" t="str">
            <v>Material Expense-Fabrication Shop</v>
          </cell>
          <cell r="D560">
            <v>-1400159.29</v>
          </cell>
          <cell r="F560">
            <v>-989796.24</v>
          </cell>
          <cell r="H560">
            <v>-410363.05</v>
          </cell>
        </row>
        <row r="561">
          <cell r="A561">
            <v>730010</v>
          </cell>
          <cell r="C561" t="str">
            <v>Material Expense-Nonstock</v>
          </cell>
          <cell r="D561">
            <v>5588094.67</v>
          </cell>
          <cell r="F561">
            <v>7847532.1</v>
          </cell>
          <cell r="H561">
            <v>-2259437.43</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1561.97</v>
          </cell>
        </row>
        <row r="567">
          <cell r="A567">
            <v>730035</v>
          </cell>
          <cell r="C567" t="str">
            <v>Material Expense-Consignment-PEPCO</v>
          </cell>
          <cell r="D567">
            <v>529990.57</v>
          </cell>
          <cell r="F567">
            <v>375772.47</v>
          </cell>
          <cell r="H567">
            <v>154218.1</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v>
          </cell>
          <cell r="F570">
            <v>42319495.62</v>
          </cell>
          <cell r="H570">
            <v>16187508.48</v>
          </cell>
        </row>
        <row r="571">
          <cell r="A571">
            <v>730060</v>
          </cell>
          <cell r="C571" t="str">
            <v>Pepco-Material Expense-Direct Ship (4M)</v>
          </cell>
          <cell r="D571">
            <v>0</v>
          </cell>
          <cell r="F571">
            <v>4614136.31</v>
          </cell>
          <cell r="H571">
            <v>-4614136.31</v>
          </cell>
        </row>
        <row r="572">
          <cell r="A572">
            <v>731005</v>
          </cell>
          <cell r="C572" t="str">
            <v>Material-Scrapped</v>
          </cell>
          <cell r="D572">
            <v>1562332.95</v>
          </cell>
          <cell r="F572">
            <v>1225723.18</v>
          </cell>
          <cell r="H572">
            <v>336609.77</v>
          </cell>
        </row>
        <row r="573">
          <cell r="A573">
            <v>731006</v>
          </cell>
          <cell r="C573" t="str">
            <v>Material-Returned to Storeroom</v>
          </cell>
          <cell r="D573">
            <v>-8834344.01</v>
          </cell>
          <cell r="F573">
            <v>-6206397.11</v>
          </cell>
          <cell r="H573">
            <v>-2627946.9</v>
          </cell>
        </row>
        <row r="574">
          <cell r="A574">
            <v>731007</v>
          </cell>
          <cell r="C574" t="str">
            <v>Material-Scrap Material</v>
          </cell>
          <cell r="D574">
            <v>-2607913.71</v>
          </cell>
          <cell r="F574">
            <v>-2462656.22</v>
          </cell>
          <cell r="H574">
            <v>-145257.49</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v>
          </cell>
          <cell r="H577">
            <v>187102.17</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71331561.99</v>
          </cell>
          <cell r="F581">
            <v>73264084.85</v>
          </cell>
          <cell r="H581">
            <v>-1932522.86</v>
          </cell>
        </row>
        <row r="582">
          <cell r="A582">
            <v>760005</v>
          </cell>
          <cell r="C582" t="str">
            <v>Contractor-Professional and Consulting</v>
          </cell>
          <cell r="D582">
            <v>11006650.05</v>
          </cell>
          <cell r="F582">
            <v>10237074.99</v>
          </cell>
          <cell r="H582">
            <v>769575.060000001</v>
          </cell>
        </row>
        <row r="583">
          <cell r="A583">
            <v>760010</v>
          </cell>
          <cell r="C583" t="str">
            <v>Contractor-Other Services</v>
          </cell>
          <cell r="D583">
            <v>22730702.65</v>
          </cell>
          <cell r="F583">
            <v>21645742.86</v>
          </cell>
          <cell r="H583">
            <v>1084959.79</v>
          </cell>
        </row>
        <row r="584">
          <cell r="A584">
            <v>760015</v>
          </cell>
          <cell r="C584" t="str">
            <v>Contractor-Temporary Employment</v>
          </cell>
          <cell r="D584">
            <v>1661367.41</v>
          </cell>
          <cell r="F584">
            <v>1541749.23</v>
          </cell>
          <cell r="H584">
            <v>119618.18</v>
          </cell>
        </row>
        <row r="585">
          <cell r="A585">
            <v>760020</v>
          </cell>
          <cell r="C585" t="str">
            <v>Contractor-Maintenance</v>
          </cell>
          <cell r="D585">
            <v>4149349.98</v>
          </cell>
          <cell r="F585">
            <v>4612908.85</v>
          </cell>
          <cell r="H585">
            <v>-463558.87</v>
          </cell>
        </row>
        <row r="586">
          <cell r="A586">
            <v>760025</v>
          </cell>
          <cell r="C586" t="str">
            <v>Contractor-Training</v>
          </cell>
          <cell r="D586">
            <v>292290.44</v>
          </cell>
          <cell r="F586">
            <v>330276.05</v>
          </cell>
          <cell r="H586">
            <v>-37985.61</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93952740.63</v>
          </cell>
          <cell r="F588">
            <v>72305379.12</v>
          </cell>
          <cell r="H588">
            <v>21647361.51</v>
          </cell>
        </row>
        <row r="589">
          <cell r="A589">
            <v>760041</v>
          </cell>
          <cell r="C589" t="str">
            <v>Contractor-External Craft Skills</v>
          </cell>
          <cell r="D589">
            <v>17059529.06</v>
          </cell>
          <cell r="F589">
            <v>16784625.86</v>
          </cell>
          <cell r="H589">
            <v>274903.199999999</v>
          </cell>
        </row>
        <row r="590">
          <cell r="A590">
            <v>760042</v>
          </cell>
          <cell r="C590" t="str">
            <v>Contractor-Design for Construction</v>
          </cell>
          <cell r="D590">
            <v>1560750.91</v>
          </cell>
          <cell r="F590">
            <v>1331822.15</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-165237.48</v>
          </cell>
        </row>
        <row r="593">
          <cell r="A593">
            <v>760105</v>
          </cell>
          <cell r="C593" t="str">
            <v>Contractor-Legal Other</v>
          </cell>
          <cell r="D593">
            <v>51577.39</v>
          </cell>
          <cell r="F593">
            <v>-90453.65</v>
          </cell>
          <cell r="H593">
            <v>142031.04</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133400.58</v>
          </cell>
          <cell r="F600">
            <v>235663.39</v>
          </cell>
          <cell r="H600">
            <v>-102262.81</v>
          </cell>
        </row>
        <row r="601">
          <cell r="A601">
            <v>771005</v>
          </cell>
          <cell r="C601" t="str">
            <v>Leases-Equipment and Computers</v>
          </cell>
          <cell r="D601">
            <v>358642.31</v>
          </cell>
          <cell r="F601">
            <v>480533.4</v>
          </cell>
          <cell r="H601">
            <v>-121891.09</v>
          </cell>
        </row>
        <row r="602">
          <cell r="A602">
            <v>771010</v>
          </cell>
          <cell r="C602" t="str">
            <v>Leases-Vehicle</v>
          </cell>
          <cell r="D602">
            <v>2774569.05</v>
          </cell>
          <cell r="F602">
            <v>2908846.88</v>
          </cell>
          <cell r="H602">
            <v>-134277.83</v>
          </cell>
        </row>
        <row r="603">
          <cell r="A603" t="str">
            <v>Rents</v>
          </cell>
          <cell r="D603">
            <v>19300750</v>
          </cell>
          <cell r="F603">
            <v>19103500.6</v>
          </cell>
          <cell r="H603">
            <v>197249.399999999</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-3243529.43</v>
          </cell>
        </row>
        <row r="607">
          <cell r="A607">
            <v>772020</v>
          </cell>
          <cell r="C607" t="str">
            <v>Claims-General Liability</v>
          </cell>
          <cell r="D607">
            <v>1109116.42</v>
          </cell>
          <cell r="F607">
            <v>249026.8</v>
          </cell>
          <cell r="H607">
            <v>860089.62</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v>
          </cell>
        </row>
        <row r="611">
          <cell r="A611">
            <v>790010</v>
          </cell>
          <cell r="C611" t="str">
            <v>Travel-Expenses</v>
          </cell>
          <cell r="D611">
            <v>363891.34</v>
          </cell>
          <cell r="F611">
            <v>285847.84</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61534.87</v>
          </cell>
        </row>
        <row r="616">
          <cell r="A616">
            <v>791005</v>
          </cell>
          <cell r="C616" t="str">
            <v>General -Registration Fees</v>
          </cell>
          <cell r="D616">
            <v>102581.09</v>
          </cell>
          <cell r="F616">
            <v>109059.22</v>
          </cell>
          <cell r="H616">
            <v>-6478.13</v>
          </cell>
        </row>
        <row r="617">
          <cell r="A617">
            <v>791010</v>
          </cell>
          <cell r="C617" t="str">
            <v>Training-Materials and Other</v>
          </cell>
          <cell r="D617">
            <v>50838.09</v>
          </cell>
          <cell r="F617">
            <v>53734.95</v>
          </cell>
          <cell r="H617">
            <v>-2896.86</v>
          </cell>
        </row>
        <row r="618">
          <cell r="A618" t="str">
            <v>Training</v>
          </cell>
          <cell r="D618">
            <v>153419.18</v>
          </cell>
          <cell r="F618">
            <v>162794.17</v>
          </cell>
          <cell r="H618">
            <v>-9374.99000000002</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15159130.79</v>
          </cell>
          <cell r="F624">
            <v>10998736.84</v>
          </cell>
          <cell r="H624">
            <v>4160393.95</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3916761.7</v>
          </cell>
        </row>
        <row r="628">
          <cell r="A628">
            <v>530150</v>
          </cell>
          <cell r="C628" t="str">
            <v>Gain on Claim Settlement</v>
          </cell>
          <cell r="D628">
            <v>-33440422.74</v>
          </cell>
          <cell r="F628">
            <v>0</v>
          </cell>
          <cell r="H628">
            <v>-33440422.74</v>
          </cell>
        </row>
        <row r="629">
          <cell r="A629" t="str">
            <v>Gain on Claim Settlement</v>
          </cell>
          <cell r="D629">
            <v>-33440422.74</v>
          </cell>
          <cell r="F629">
            <v>0</v>
          </cell>
          <cell r="H629">
            <v>-33440422.74</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6179.42</v>
          </cell>
        </row>
        <row r="633">
          <cell r="A633">
            <v>751032</v>
          </cell>
          <cell r="C633" t="str">
            <v>PJM - LT Reliability Planning &amp; Standar</v>
          </cell>
          <cell r="D633">
            <v>8593.98</v>
          </cell>
          <cell r="F633">
            <v>2586.43</v>
          </cell>
          <cell r="H633">
            <v>6007.55</v>
          </cell>
        </row>
        <row r="634">
          <cell r="A634">
            <v>751033</v>
          </cell>
          <cell r="C634" t="str">
            <v>PJM - Market Facilitation, Monitoring &amp;</v>
          </cell>
          <cell r="D634">
            <v>26354.03</v>
          </cell>
          <cell r="F634">
            <v>16362.95</v>
          </cell>
          <cell r="H634">
            <v>9991.08</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v>
          </cell>
        </row>
        <row r="638">
          <cell r="A638">
            <v>793010</v>
          </cell>
          <cell r="C638" t="str">
            <v>Donations-Nondeductible</v>
          </cell>
          <cell r="D638">
            <v>162652.05</v>
          </cell>
          <cell r="F638">
            <v>177533.97</v>
          </cell>
          <cell r="H638">
            <v>-14881.92</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v>
          </cell>
        </row>
        <row r="641">
          <cell r="A641">
            <v>794020</v>
          </cell>
          <cell r="C641" t="str">
            <v>General-Utilities</v>
          </cell>
          <cell r="D641">
            <v>60906.82</v>
          </cell>
          <cell r="F641">
            <v>33755.23</v>
          </cell>
          <cell r="H641">
            <v>27151.59</v>
          </cell>
        </row>
        <row r="642">
          <cell r="A642">
            <v>794035</v>
          </cell>
          <cell r="C642" t="str">
            <v>General-Fees and Licenses</v>
          </cell>
          <cell r="D642">
            <v>5758350.11</v>
          </cell>
          <cell r="F642">
            <v>2198018.32</v>
          </cell>
          <cell r="H642">
            <v>3560331.79</v>
          </cell>
        </row>
        <row r="643">
          <cell r="A643">
            <v>794038</v>
          </cell>
          <cell r="C643" t="str">
            <v>Bank Fees</v>
          </cell>
          <cell r="D643">
            <v>1017451.49</v>
          </cell>
          <cell r="F643">
            <v>1036973.23</v>
          </cell>
          <cell r="H643">
            <v>-19521.74</v>
          </cell>
        </row>
        <row r="644">
          <cell r="A644">
            <v>794040</v>
          </cell>
          <cell r="C644" t="str">
            <v>General-Postage</v>
          </cell>
          <cell r="D644">
            <v>3185205.99</v>
          </cell>
          <cell r="F644">
            <v>3225187.79</v>
          </cell>
          <cell r="H644">
            <v>-39981.7999999998</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v>
          </cell>
        </row>
        <row r="647">
          <cell r="A647">
            <v>795010</v>
          </cell>
          <cell r="C647" t="str">
            <v>General-Meals</v>
          </cell>
          <cell r="D647">
            <v>394462.67</v>
          </cell>
          <cell r="F647">
            <v>311257.34</v>
          </cell>
          <cell r="H647">
            <v>83205.33</v>
          </cell>
        </row>
        <row r="648">
          <cell r="A648">
            <v>795012</v>
          </cell>
          <cell r="C648" t="str">
            <v>General-Entertainment</v>
          </cell>
          <cell r="D648">
            <v>256689.3</v>
          </cell>
          <cell r="F648">
            <v>292193.68</v>
          </cell>
          <cell r="H648">
            <v>-35504.38</v>
          </cell>
        </row>
        <row r="649">
          <cell r="A649">
            <v>795015</v>
          </cell>
          <cell r="C649" t="str">
            <v>General-Office Supplies and Expense</v>
          </cell>
          <cell r="D649">
            <v>761885.95</v>
          </cell>
          <cell r="F649">
            <v>787527.34</v>
          </cell>
          <cell r="H649">
            <v>-25641.39</v>
          </cell>
        </row>
        <row r="650">
          <cell r="A650">
            <v>795016</v>
          </cell>
          <cell r="C650" t="str">
            <v>General-Telephone</v>
          </cell>
          <cell r="D650">
            <v>624763.57</v>
          </cell>
          <cell r="F650">
            <v>573755.56</v>
          </cell>
          <cell r="H650">
            <v>51008.0099999999</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v>
          </cell>
        </row>
        <row r="653">
          <cell r="A653">
            <v>795019</v>
          </cell>
          <cell r="C653" t="str">
            <v>General-Noncash Employee Small Gifts</v>
          </cell>
          <cell r="D653">
            <v>8673.54</v>
          </cell>
          <cell r="F653">
            <v>7246.52</v>
          </cell>
          <cell r="H653">
            <v>1427.02</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11588766.04</v>
          </cell>
          <cell r="H658">
            <v>2548311.89</v>
          </cell>
        </row>
        <row r="659">
          <cell r="A659">
            <v>783500</v>
          </cell>
          <cell r="C659" t="str">
            <v>CIAC-Taxable</v>
          </cell>
          <cell r="D659">
            <v>-20045809.42</v>
          </cell>
          <cell r="F659">
            <v>-17189776.91</v>
          </cell>
          <cell r="H659">
            <v>-2856032.51</v>
          </cell>
        </row>
        <row r="660">
          <cell r="A660">
            <v>783510</v>
          </cell>
          <cell r="C660" t="str">
            <v>CIAC-Non Taxable</v>
          </cell>
          <cell r="D660">
            <v>-3907864.63</v>
          </cell>
          <cell r="F660">
            <v>-4570961.81</v>
          </cell>
          <cell r="H660">
            <v>663097.18</v>
          </cell>
        </row>
        <row r="661">
          <cell r="A661">
            <v>783520</v>
          </cell>
          <cell r="C661" t="str">
            <v>CIAC-Nonstandard Taxable</v>
          </cell>
          <cell r="D661">
            <v>-1339817</v>
          </cell>
          <cell r="F661">
            <v>-2865743.33</v>
          </cell>
          <cell r="H661">
            <v>1525926.33</v>
          </cell>
        </row>
        <row r="662">
          <cell r="A662">
            <v>783600</v>
          </cell>
          <cell r="C662" t="str">
            <v>AFUDC to Projects</v>
          </cell>
          <cell r="D662">
            <v>8020186.01</v>
          </cell>
          <cell r="F662">
            <v>4027941.67</v>
          </cell>
          <cell r="H662">
            <v>3992244.34</v>
          </cell>
        </row>
        <row r="663">
          <cell r="A663">
            <v>783700</v>
          </cell>
          <cell r="C663" t="str">
            <v>Salvage</v>
          </cell>
          <cell r="D663">
            <v>-252494.93</v>
          </cell>
          <cell r="F663">
            <v>-246969.56</v>
          </cell>
          <cell r="H663">
            <v>-5525.37</v>
          </cell>
        </row>
        <row r="664">
          <cell r="A664">
            <v>783800</v>
          </cell>
          <cell r="C664" t="str">
            <v>Reimbursed Costs</v>
          </cell>
          <cell r="D664">
            <v>-15579950.28</v>
          </cell>
          <cell r="F664">
            <v>-632213.17</v>
          </cell>
          <cell r="H664">
            <v>-14947737.11</v>
          </cell>
        </row>
        <row r="665">
          <cell r="A665">
            <v>783999</v>
          </cell>
          <cell r="C665" t="str">
            <v>Costs Transferred</v>
          </cell>
          <cell r="D665">
            <v>-105307.37</v>
          </cell>
          <cell r="F665">
            <v>-506495.09</v>
          </cell>
          <cell r="H665">
            <v>401187.72</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6643300.38</v>
          </cell>
          <cell r="F668">
            <v>-294462.67</v>
          </cell>
          <cell r="H668">
            <v>6937763.05</v>
          </cell>
        </row>
        <row r="669">
          <cell r="A669">
            <v>800025</v>
          </cell>
          <cell r="C669" t="str">
            <v>Transfer-Facility Costs</v>
          </cell>
          <cell r="D669">
            <v>0</v>
          </cell>
          <cell r="F669">
            <v>-0.03</v>
          </cell>
          <cell r="H669">
            <v>0.03</v>
          </cell>
        </row>
        <row r="670">
          <cell r="A670" t="str">
            <v>Costs Transferred</v>
          </cell>
          <cell r="D670">
            <v>-24139023.27</v>
          </cell>
          <cell r="F670">
            <v>-22342360.9</v>
          </cell>
          <cell r="H670">
            <v>-1796662.37</v>
          </cell>
        </row>
        <row r="671">
          <cell r="A671">
            <v>783000</v>
          </cell>
          <cell r="C671" t="str">
            <v>Settlement-Assets</v>
          </cell>
          <cell r="D671">
            <v>-272972396.81</v>
          </cell>
          <cell r="F671">
            <v>-240053022.35</v>
          </cell>
          <cell r="H671">
            <v>-32919374.46</v>
          </cell>
        </row>
        <row r="672">
          <cell r="A672">
            <v>783005</v>
          </cell>
          <cell r="C672" t="str">
            <v>Settlement-CIAC</v>
          </cell>
          <cell r="D672">
            <v>25294435.05</v>
          </cell>
          <cell r="F672">
            <v>24623538.05</v>
          </cell>
          <cell r="H672">
            <v>670897</v>
          </cell>
        </row>
        <row r="673">
          <cell r="A673">
            <v>783010</v>
          </cell>
          <cell r="C673" t="str">
            <v>Settlement-AFUDC</v>
          </cell>
          <cell r="D673">
            <v>-8020186.01</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5525.37</v>
          </cell>
        </row>
        <row r="676">
          <cell r="A676">
            <v>783100</v>
          </cell>
          <cell r="C676" t="str">
            <v>Settlement-Deferred Costs</v>
          </cell>
          <cell r="D676">
            <v>-2582524.91</v>
          </cell>
          <cell r="F676">
            <v>-23443278.36</v>
          </cell>
          <cell r="H676">
            <v>20860753.45</v>
          </cell>
        </row>
        <row r="677">
          <cell r="A677">
            <v>796010</v>
          </cell>
          <cell r="C677" t="str">
            <v>Business Transformation Costs</v>
          </cell>
          <cell r="D677">
            <v>-1290546.81</v>
          </cell>
          <cell r="F677">
            <v>0</v>
          </cell>
          <cell r="H677">
            <v>-1290546.81</v>
          </cell>
        </row>
        <row r="678">
          <cell r="A678" t="str">
            <v>Capitalized Costs</v>
          </cell>
          <cell r="D678">
            <v>-260200948.92</v>
          </cell>
          <cell r="F678">
            <v>-242208689.64</v>
          </cell>
          <cell r="H678">
            <v>-17992259.28</v>
          </cell>
        </row>
        <row r="679">
          <cell r="A679">
            <v>798502</v>
          </cell>
          <cell r="C679" t="str">
            <v>Direct Charge Debit</v>
          </cell>
          <cell r="D679">
            <v>96510830.8</v>
          </cell>
          <cell r="F679">
            <v>97141526.28</v>
          </cell>
          <cell r="H679">
            <v>-630695.480000004</v>
          </cell>
        </row>
        <row r="680">
          <cell r="A680">
            <v>798503</v>
          </cell>
          <cell r="C680" t="str">
            <v>Direct Charge Credit</v>
          </cell>
          <cell r="D680">
            <v>-52901210.77</v>
          </cell>
          <cell r="F680">
            <v>-57139012.02</v>
          </cell>
          <cell r="H680">
            <v>4237801.25</v>
          </cell>
        </row>
        <row r="681">
          <cell r="A681">
            <v>798504</v>
          </cell>
          <cell r="C681" t="str">
            <v>Assessment Debit</v>
          </cell>
          <cell r="D681">
            <v>132848422.27</v>
          </cell>
          <cell r="F681">
            <v>123458452.13</v>
          </cell>
          <cell r="H681">
            <v>9389970.14</v>
          </cell>
        </row>
        <row r="682">
          <cell r="A682">
            <v>798505</v>
          </cell>
          <cell r="C682" t="str">
            <v>Assessment Credit</v>
          </cell>
          <cell r="D682">
            <v>-48594461.49</v>
          </cell>
          <cell r="F682">
            <v>-49826576.11</v>
          </cell>
          <cell r="H682">
            <v>1232114.62</v>
          </cell>
        </row>
        <row r="683">
          <cell r="A683">
            <v>798506</v>
          </cell>
          <cell r="C683" t="str">
            <v>Overhead Debit</v>
          </cell>
          <cell r="D683">
            <v>816197.78</v>
          </cell>
          <cell r="F683">
            <v>697584.69</v>
          </cell>
          <cell r="H683">
            <v>118613.09</v>
          </cell>
        </row>
        <row r="684">
          <cell r="A684">
            <v>798507</v>
          </cell>
          <cell r="C684" t="str">
            <v>Overhead Credit</v>
          </cell>
          <cell r="D684">
            <v>-816197.78</v>
          </cell>
          <cell r="F684">
            <v>-697584.69</v>
          </cell>
          <cell r="H684">
            <v>-118613.09</v>
          </cell>
        </row>
        <row r="685">
          <cell r="A685">
            <v>798508</v>
          </cell>
          <cell r="C685" t="str">
            <v>Order Settlmt Debit</v>
          </cell>
          <cell r="D685">
            <v>37043253.89</v>
          </cell>
          <cell r="F685">
            <v>38998134.45</v>
          </cell>
          <cell r="H685">
            <v>-1954880.56</v>
          </cell>
        </row>
        <row r="686">
          <cell r="A686">
            <v>798509</v>
          </cell>
          <cell r="C686" t="str">
            <v>Order Settlmt Credit</v>
          </cell>
          <cell r="D686">
            <v>-37043253.89</v>
          </cell>
          <cell r="F686">
            <v>-38998134.45</v>
          </cell>
          <cell r="H686">
            <v>1954880.56</v>
          </cell>
        </row>
        <row r="687">
          <cell r="A687" t="str">
            <v>Business Area Clearing</v>
          </cell>
          <cell r="D687">
            <v>127863580.81</v>
          </cell>
          <cell r="F687">
            <v>113634390.28</v>
          </cell>
          <cell r="H687">
            <v>14229190.53</v>
          </cell>
        </row>
        <row r="688">
          <cell r="A688" t="str">
            <v>Total Operation and Maintenance</v>
          </cell>
          <cell r="D688">
            <v>265942519.19</v>
          </cell>
          <cell r="F688">
            <v>275227934.13</v>
          </cell>
          <cell r="H688">
            <v>-9285414.94</v>
          </cell>
        </row>
        <row r="689">
          <cell r="H689">
            <v>0</v>
          </cell>
        </row>
        <row r="690">
          <cell r="A690">
            <v>780005</v>
          </cell>
          <cell r="C690" t="str">
            <v>Amortization-General</v>
          </cell>
          <cell r="D690">
            <v>427606.8</v>
          </cell>
          <cell r="F690">
            <v>427486</v>
          </cell>
          <cell r="H690">
            <v>120.799999999988</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v>
          </cell>
          <cell r="F693">
            <v>9299323.7</v>
          </cell>
          <cell r="H693">
            <v>-390780.229999999</v>
          </cell>
        </row>
        <row r="694">
          <cell r="A694">
            <v>781005</v>
          </cell>
          <cell r="C694" t="str">
            <v>Depreciation-Regulated</v>
          </cell>
          <cell r="D694">
            <v>141814145.03</v>
          </cell>
          <cell r="F694">
            <v>156380197.88</v>
          </cell>
          <cell r="H694">
            <v>-14566052.85</v>
          </cell>
        </row>
        <row r="695">
          <cell r="A695">
            <v>781010</v>
          </cell>
          <cell r="C695" t="str">
            <v>Depreciation-Unregulated</v>
          </cell>
          <cell r="D695">
            <v>79169</v>
          </cell>
          <cell r="F695">
            <v>79169</v>
          </cell>
          <cell r="H695">
            <v>0</v>
          </cell>
        </row>
        <row r="696">
          <cell r="A696" t="str">
            <v>Depreciation and Amortization</v>
          </cell>
          <cell r="D696">
            <v>151379714.07</v>
          </cell>
          <cell r="F696">
            <v>166186176.58</v>
          </cell>
          <cell r="H696">
            <v>-14806462.51</v>
          </cell>
        </row>
        <row r="697">
          <cell r="H697">
            <v>0</v>
          </cell>
        </row>
        <row r="698">
          <cell r="A698">
            <v>797020</v>
          </cell>
          <cell r="C698" t="str">
            <v>Taxes-Other than Income Taxes</v>
          </cell>
          <cell r="D698">
            <v>143419250</v>
          </cell>
          <cell r="F698">
            <v>127769102.12</v>
          </cell>
          <cell r="H698">
            <v>15650147.88</v>
          </cell>
        </row>
        <row r="699">
          <cell r="A699">
            <v>797022</v>
          </cell>
          <cell r="C699" t="str">
            <v>Property Tax Expense</v>
          </cell>
          <cell r="D699">
            <v>37730794.85</v>
          </cell>
          <cell r="F699">
            <v>36733024.14</v>
          </cell>
          <cell r="H699">
            <v>997770.710000001</v>
          </cell>
        </row>
        <row r="700">
          <cell r="A700">
            <v>797025</v>
          </cell>
          <cell r="C700" t="str">
            <v>Taxes-Gross Receipts Tax</v>
          </cell>
          <cell r="D700">
            <v>108384558.26</v>
          </cell>
          <cell r="F700">
            <v>108608082.38</v>
          </cell>
          <cell r="H700">
            <v>-223524.11999999</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289523515.26</v>
          </cell>
          <cell r="F703">
            <v>273112234.32</v>
          </cell>
          <cell r="H703">
            <v>16411280.94</v>
          </cell>
        </row>
        <row r="704">
          <cell r="H704">
            <v>0</v>
          </cell>
        </row>
        <row r="705">
          <cell r="A705" t="str">
            <v>Total Operating Expenses</v>
          </cell>
          <cell r="D705">
            <v>1889349566.03</v>
          </cell>
          <cell r="F705">
            <v>1978616675.64</v>
          </cell>
          <cell r="H705">
            <v>-89267109.6100001</v>
          </cell>
        </row>
        <row r="706">
          <cell r="A706" t="str">
            <v>Income from Operations</v>
          </cell>
          <cell r="D706">
            <v>-248210219.83</v>
          </cell>
          <cell r="F706">
            <v>-200114506.85</v>
          </cell>
          <cell r="H706">
            <v>-48095712.98</v>
          </cell>
        </row>
        <row r="707">
          <cell r="H707">
            <v>0</v>
          </cell>
        </row>
        <row r="708">
          <cell r="A708" t="str">
            <v>Other Income and Expense</v>
          </cell>
          <cell r="H708">
            <v>0</v>
          </cell>
        </row>
        <row r="709">
          <cell r="H709">
            <v>0</v>
          </cell>
        </row>
        <row r="710">
          <cell r="A710">
            <v>640000</v>
          </cell>
          <cell r="C710" t="str">
            <v>Interest and Dividend Income</v>
          </cell>
          <cell r="D710">
            <v>-9372366.08</v>
          </cell>
          <cell r="F710">
            <v>-4212726.02</v>
          </cell>
          <cell r="H710">
            <v>-5159640.06</v>
          </cell>
        </row>
        <row r="711">
          <cell r="A711" t="str">
            <v>Interest and Dividend Income</v>
          </cell>
          <cell r="D711">
            <v>-9372366.08</v>
          </cell>
          <cell r="F711">
            <v>-4212726.02</v>
          </cell>
          <cell r="H711">
            <v>-5159640.06</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62202179.41</v>
          </cell>
          <cell r="F716">
            <v>68670749.61</v>
          </cell>
          <cell r="H716">
            <v>-6468570.2</v>
          </cell>
        </row>
        <row r="717">
          <cell r="A717">
            <v>782010</v>
          </cell>
          <cell r="C717" t="str">
            <v>Interest-Other</v>
          </cell>
          <cell r="D717">
            <v>12513445.21</v>
          </cell>
          <cell r="F717">
            <v>3400081.15</v>
          </cell>
          <cell r="H717">
            <v>9113364.06</v>
          </cell>
        </row>
        <row r="718">
          <cell r="A718">
            <v>782015</v>
          </cell>
          <cell r="C718" t="str">
            <v>Amortization of Debt Discount (L/T Debt</v>
          </cell>
          <cell r="D718">
            <v>1127557.35</v>
          </cell>
          <cell r="F718">
            <v>1122173.36</v>
          </cell>
          <cell r="H718">
            <v>5383.98999999999</v>
          </cell>
        </row>
        <row r="719">
          <cell r="A719">
            <v>782016</v>
          </cell>
          <cell r="C719" t="str">
            <v>Amortization of Debt Discount (S/T Debt</v>
          </cell>
          <cell r="D719">
            <v>3689094.93</v>
          </cell>
          <cell r="F719">
            <v>822840.59</v>
          </cell>
          <cell r="H719">
            <v>2866254.34</v>
          </cell>
        </row>
        <row r="720">
          <cell r="A720">
            <v>782017</v>
          </cell>
          <cell r="C720" t="str">
            <v>Amortization of Debt Issuance Costs - M</v>
          </cell>
          <cell r="D720">
            <v>100076.3</v>
          </cell>
          <cell r="F720">
            <v>120308.89</v>
          </cell>
          <cell r="H720">
            <v>-20232.59</v>
          </cell>
        </row>
        <row r="721">
          <cell r="A721">
            <v>782020</v>
          </cell>
          <cell r="C721" t="str">
            <v>Amortization of Reacquired Debt</v>
          </cell>
          <cell r="D721">
            <v>2861145.13</v>
          </cell>
          <cell r="F721">
            <v>2823817.92</v>
          </cell>
          <cell r="H721">
            <v>37327.21</v>
          </cell>
        </row>
        <row r="722">
          <cell r="A722" t="str">
            <v>Interest Expense</v>
          </cell>
          <cell r="D722">
            <v>82538199.72</v>
          </cell>
          <cell r="F722">
            <v>76963325.1</v>
          </cell>
          <cell r="H722">
            <v>5574874.62</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81745634.22</v>
          </cell>
          <cell r="F729">
            <v>73993539.62</v>
          </cell>
          <cell r="H729">
            <v>7752094.59999999</v>
          </cell>
        </row>
        <row r="730">
          <cell r="H730">
            <v>0</v>
          </cell>
        </row>
        <row r="731">
          <cell r="A731" t="str">
            <v>Various Other Income and Expense</v>
          </cell>
          <cell r="H731">
            <v>0</v>
          </cell>
        </row>
        <row r="732">
          <cell r="H732">
            <v>0</v>
          </cell>
        </row>
        <row r="733">
          <cell r="A733">
            <v>620000</v>
          </cell>
          <cell r="C733" t="str">
            <v>Miscellaneous Nonoperating Income</v>
          </cell>
          <cell r="D733">
            <v>-6797820.13</v>
          </cell>
          <cell r="F733">
            <v>-7741830.23</v>
          </cell>
          <cell r="H733">
            <v>944010.100000001</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-7895876.26</v>
          </cell>
          <cell r="F736">
            <v>-9670436.65</v>
          </cell>
          <cell r="H736">
            <v>1774560.39</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v>
          </cell>
        </row>
        <row r="740">
          <cell r="A740" t="str">
            <v>AFUDC</v>
          </cell>
          <cell r="D740">
            <v>-3287877.97</v>
          </cell>
          <cell r="F740">
            <v>-2567269.27</v>
          </cell>
          <cell r="H740">
            <v>-720608.7</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v>
          </cell>
          <cell r="F743">
            <v>-12424264.62</v>
          </cell>
          <cell r="H743">
            <v>880595.729999999</v>
          </cell>
        </row>
        <row r="744">
          <cell r="H744">
            <v>0</v>
          </cell>
        </row>
        <row r="745">
          <cell r="A745" t="str">
            <v>Total Other Income and Expense</v>
          </cell>
          <cell r="D745">
            <v>60829599.25</v>
          </cell>
          <cell r="F745">
            <v>57356548.98</v>
          </cell>
          <cell r="H745">
            <v>3473050.27</v>
          </cell>
        </row>
        <row r="746">
          <cell r="A746" t="str">
            <v>Income Before Preferred Div and Income Taxes</v>
          </cell>
          <cell r="D746">
            <v>-187380620.58</v>
          </cell>
          <cell r="F746">
            <v>-142757957.87</v>
          </cell>
          <cell r="H746">
            <v>-44622662.71</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v>
          </cell>
          <cell r="F754">
            <v>-141742957.09</v>
          </cell>
          <cell r="H754">
            <v>-45637663.49</v>
          </cell>
        </row>
        <row r="755">
          <cell r="H755">
            <v>0</v>
          </cell>
        </row>
        <row r="756">
          <cell r="A756">
            <v>797010</v>
          </cell>
          <cell r="C756" t="str">
            <v>Taxes-Federal Income Tax</v>
          </cell>
          <cell r="D756">
            <v>70657213.29</v>
          </cell>
          <cell r="F756">
            <v>15339334.5</v>
          </cell>
          <cell r="H756">
            <v>55317878.79</v>
          </cell>
        </row>
        <row r="757">
          <cell r="A757">
            <v>797015</v>
          </cell>
          <cell r="C757" t="str">
            <v>Taxes-State Inc Tax</v>
          </cell>
          <cell r="D757">
            <v>16122195.64</v>
          </cell>
          <cell r="F757">
            <v>1683823.43</v>
          </cell>
          <cell r="H757">
            <v>14438372.21</v>
          </cell>
        </row>
        <row r="758">
          <cell r="A758">
            <v>797035</v>
          </cell>
          <cell r="C758" t="str">
            <v>Taxes-Deferred Federal Income Taxes</v>
          </cell>
          <cell r="D758">
            <v>57236901.14</v>
          </cell>
          <cell r="F758">
            <v>124158904.9</v>
          </cell>
          <cell r="H758">
            <v>-66922003.76</v>
          </cell>
        </row>
        <row r="759">
          <cell r="A759">
            <v>797037</v>
          </cell>
          <cell r="C759" t="str">
            <v>Taxes-Deferred Federal Income Taxes - C</v>
          </cell>
          <cell r="D759">
            <v>-64293152.93</v>
          </cell>
          <cell r="F759">
            <v>-88256184.98</v>
          </cell>
          <cell r="H759">
            <v>23963032.05</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-14678739.29</v>
          </cell>
          <cell r="F761">
            <v>-28349709.49</v>
          </cell>
          <cell r="H761">
            <v>13670970.2</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v>
          </cell>
          <cell r="F765">
            <v>-2347112</v>
          </cell>
          <cell r="H765">
            <v>12827260.05</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v>
          </cell>
          <cell r="F768">
            <v>57399047.13</v>
          </cell>
          <cell r="H768">
            <v>4922701.25</v>
          </cell>
        </row>
        <row r="769">
          <cell r="H769">
            <v>0</v>
          </cell>
        </row>
        <row r="770">
          <cell r="A770" t="str">
            <v>Net Profit or Loss</v>
          </cell>
          <cell r="D770">
            <v>125058872.2</v>
          </cell>
          <cell r="F770">
            <v>84343909.96</v>
          </cell>
          <cell r="H770">
            <v>40714962.24</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0.08172328277462</v>
          </cell>
          <cell r="C39">
            <v>0.0816407935322996</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v>
          </cell>
        </row>
        <row r="9">
          <cell r="A9" t="str">
            <v>Cust. Accts. &amp; Cust. Serv.</v>
          </cell>
          <cell r="C9">
            <v>18770105</v>
          </cell>
          <cell r="G9">
            <v>18770105</v>
          </cell>
          <cell r="I9">
            <v>0.3449</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Tax allocation from Service </v>
          </cell>
          <cell r="B18">
            <v>196976.66</v>
          </cell>
          <cell r="C18">
            <v>0</v>
          </cell>
          <cell r="D18">
            <v>196976.66</v>
          </cell>
        </row>
        <row r="19">
          <cell r="A19" t="str">
            <v>IRS Interest </v>
          </cell>
          <cell r="B19">
            <v>0</v>
          </cell>
          <cell r="D19">
            <v>0</v>
          </cell>
        </row>
        <row r="20">
          <cell r="A20" t="str">
            <v>Nondeductible Contributions</v>
          </cell>
          <cell r="B20">
            <v>0</v>
          </cell>
          <cell r="C20">
            <v>0</v>
          </cell>
          <cell r="D20">
            <v>0</v>
          </cell>
        </row>
        <row r="22">
          <cell r="A22" t="str">
            <v>Subtotal - Permanent </v>
          </cell>
          <cell r="B22">
            <v>-30423.46</v>
          </cell>
          <cell r="C22">
            <v>1542170</v>
          </cell>
          <cell r="D22">
            <v>1511746.54</v>
          </cell>
        </row>
        <row r="24">
          <cell r="A24" t="str">
            <v>Removal Costs</v>
          </cell>
          <cell r="B24">
            <v>-8598687.98</v>
          </cell>
          <cell r="D24">
            <v>-8598687.98</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2081317.03</v>
          </cell>
          <cell r="C40">
            <v>-471301.44</v>
          </cell>
          <cell r="D40">
            <v>1610015.59</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27712770.13</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v>
          </cell>
          <cell r="D52">
            <v>4600914.69</v>
          </cell>
        </row>
        <row r="54">
          <cell r="A54" t="str">
            <v>Subtotal Flowthrough</v>
          </cell>
          <cell r="B54">
            <v>4738914.69</v>
          </cell>
          <cell r="C54">
            <v>0</v>
          </cell>
          <cell r="D54">
            <v>4738914.69</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v>
          </cell>
          <cell r="C62">
            <v>1070868.56</v>
          </cell>
          <cell r="D62">
            <v>33315959.82</v>
          </cell>
        </row>
        <row r="64">
          <cell r="A64" t="str">
            <v>DC Income Tax Provision</v>
          </cell>
          <cell r="B64">
            <v>2595729.84643</v>
          </cell>
          <cell r="C64">
            <v>86204.91908</v>
          </cell>
          <cell r="D64">
            <v>2681934.76551</v>
          </cell>
        </row>
        <row r="66">
          <cell r="A66" t="str">
            <v>Federal Taxable Income</v>
          </cell>
          <cell r="B66">
            <v>24046171.72357</v>
          </cell>
          <cell r="C66">
            <v>984663.64092</v>
          </cell>
          <cell r="D66">
            <v>25030835.36449</v>
          </cell>
        </row>
        <row r="68">
          <cell r="A68" t="str">
            <v>Federal Income Tax Provision</v>
          </cell>
          <cell r="B68">
            <v>8416160.1032495</v>
          </cell>
          <cell r="C68">
            <v>344632.274322</v>
          </cell>
          <cell r="D68">
            <v>8760792.3775715</v>
          </cell>
        </row>
        <row r="70">
          <cell r="A70" t="str">
            <v>Fin 48 adj</v>
          </cell>
          <cell r="D70">
            <v>0</v>
          </cell>
        </row>
        <row r="71">
          <cell r="A71" t="str">
            <v>ITC</v>
          </cell>
          <cell r="B71">
            <v>-508596</v>
          </cell>
          <cell r="D71">
            <v>-508596</v>
          </cell>
        </row>
        <row r="73">
          <cell r="A73" t="str">
            <v>Net Federal Tax Provision</v>
          </cell>
          <cell r="B73">
            <v>7907564.1032495</v>
          </cell>
          <cell r="C73">
            <v>344632.274322</v>
          </cell>
          <cell r="D73">
            <v>8252196.3775715</v>
          </cell>
        </row>
        <row r="76">
          <cell r="A76" t="str">
            <v>NOTE: Excludes adjusting entries/true-ups</v>
          </cell>
          <cell r="C76" t="str">
            <v>Total Taxes</v>
          </cell>
          <cell r="D76">
            <v>10934131.1430815</v>
          </cell>
        </row>
        <row r="77">
          <cell r="C77" t="str">
            <v>CM JE Tax upload</v>
          </cell>
          <cell r="D77">
            <v>10934131.37</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Tax allocation from Service </v>
          </cell>
          <cell r="B101">
            <v>196976.66</v>
          </cell>
          <cell r="C101">
            <v>0</v>
          </cell>
          <cell r="D101">
            <v>196976.66</v>
          </cell>
        </row>
        <row r="102">
          <cell r="A102" t="str">
            <v>IRS Interest </v>
          </cell>
          <cell r="B102">
            <v>0</v>
          </cell>
          <cell r="D102">
            <v>0</v>
          </cell>
        </row>
        <row r="103">
          <cell r="A103" t="str">
            <v>Nondeductible Contributions</v>
          </cell>
          <cell r="B103">
            <v>0</v>
          </cell>
          <cell r="C103">
            <v>0</v>
          </cell>
          <cell r="D103">
            <v>0</v>
          </cell>
        </row>
        <row r="105">
          <cell r="A105" t="str">
            <v>Subtotal - Permanent </v>
          </cell>
          <cell r="B105">
            <v>-30423.46</v>
          </cell>
          <cell r="C105">
            <v>1542170</v>
          </cell>
          <cell r="D105">
            <v>1511746.54</v>
          </cell>
        </row>
        <row r="107">
          <cell r="A107" t="str">
            <v>Removal Costs</v>
          </cell>
          <cell r="B107">
            <v>-8598687.98</v>
          </cell>
          <cell r="C107">
            <v>0</v>
          </cell>
          <cell r="D107">
            <v>-8598687.98</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2081317.03</v>
          </cell>
          <cell r="C123">
            <v>-471301.44</v>
          </cell>
          <cell r="D123">
            <v>1610015.59</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27712770.13</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v>
          </cell>
          <cell r="C135">
            <v>0</v>
          </cell>
          <cell r="D135">
            <v>4600914.69</v>
          </cell>
        </row>
        <row r="137">
          <cell r="A137" t="str">
            <v>Subtotal Flowthrough</v>
          </cell>
          <cell r="B137">
            <v>4738914.69</v>
          </cell>
          <cell r="C137">
            <v>0</v>
          </cell>
          <cell r="D137">
            <v>4738914.69</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v>
          </cell>
          <cell r="C145">
            <v>1070868.56</v>
          </cell>
          <cell r="D145">
            <v>33315959.82</v>
          </cell>
        </row>
        <row r="147">
          <cell r="A147" t="str">
            <v>DC Income Tax Provision</v>
          </cell>
          <cell r="B147">
            <v>2595729.84643</v>
          </cell>
          <cell r="C147">
            <v>86204.91908</v>
          </cell>
          <cell r="D147">
            <v>2681934.76551</v>
          </cell>
        </row>
        <row r="149">
          <cell r="A149" t="str">
            <v>Federal Taxable Income</v>
          </cell>
          <cell r="B149">
            <v>24046171.72357</v>
          </cell>
          <cell r="C149">
            <v>984663.64092</v>
          </cell>
          <cell r="D149">
            <v>25030835.36449</v>
          </cell>
        </row>
        <row r="151">
          <cell r="A151" t="str">
            <v>Federal Income Tax Provision</v>
          </cell>
          <cell r="B151">
            <v>8416160.1032495</v>
          </cell>
          <cell r="C151">
            <v>344632.274322</v>
          </cell>
          <cell r="D151">
            <v>8760792.3775715</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7907564.1032495</v>
          </cell>
          <cell r="C156">
            <v>344632.274322</v>
          </cell>
          <cell r="D156">
            <v>8252196.3775715</v>
          </cell>
        </row>
        <row r="158">
          <cell r="A158" t="str">
            <v>NOTE: Excludes adjusting entries</v>
          </cell>
          <cell r="C158" t="str">
            <v>Total Taxes</v>
          </cell>
          <cell r="D158">
            <v>10934131.1430815</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2004 Actual </v>
          </cell>
        </row>
        <row r="83">
          <cell r="C83" t="str">
            <v>Current</v>
          </cell>
          <cell r="E83" t="str">
            <v>Jan</v>
          </cell>
        </row>
        <row r="84">
          <cell r="B84" t="str">
            <v>Consolidated Electric</v>
          </cell>
        </row>
        <row r="85">
          <cell r="B85" t="str">
            <v>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Atlantic </v>
          </cell>
        </row>
        <row r="91">
          <cell r="B91" t="str">
            <v>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v>
          </cell>
          <cell r="L8">
            <v>992.45</v>
          </cell>
          <cell r="M8">
            <v>102093.04</v>
          </cell>
        </row>
        <row r="9">
          <cell r="A9" t="str">
            <v>O&amp;M</v>
          </cell>
          <cell r="C9">
            <v>11000</v>
          </cell>
          <cell r="D9" t="str">
            <v>11000</v>
          </cell>
          <cell r="E9" t="str">
            <v>A4 - NUCLEAR DIVISION</v>
          </cell>
          <cell r="H9" t="str">
            <v>120</v>
          </cell>
          <cell r="I9" t="str">
            <v>BT</v>
          </cell>
          <cell r="J9">
            <v>153.95</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630.92</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279.65</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271.59</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148.619999999999</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-39632.2</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13229657.32</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2178.97</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36481.95</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33156.45</v>
          </cell>
          <cell r="K97">
            <v>5886.09</v>
          </cell>
        </row>
        <row r="98">
          <cell r="A98" t="str">
            <v>CAP</v>
          </cell>
          <cell r="C98">
            <v>15400</v>
          </cell>
          <cell r="D98" t="str">
            <v>15400</v>
          </cell>
          <cell r="E98" t="str">
            <v>AT - TRANSMISSION DIRECT CHGS</v>
          </cell>
          <cell r="H98" t="str">
            <v>120</v>
          </cell>
          <cell r="I98" t="str">
            <v>CB</v>
          </cell>
          <cell r="J98">
            <v>-2095.43</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6578718.17</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4713429.77</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v>
          </cell>
          <cell r="K113">
            <v>20652.44</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v>
          </cell>
          <cell r="L134">
            <v>8137371.59</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v>
          </cell>
          <cell r="K136">
            <v>6552625.38</v>
          </cell>
          <cell r="L136">
            <v>8869422.03</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565876.58</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560759.69</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27779.28</v>
          </cell>
          <cell r="K147">
            <v>72.76</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17.65</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18130.76</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4711.11</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1159078.38</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v>
          </cell>
          <cell r="M183">
            <v>574.45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34355.2</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34355.2</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-61.0500000000001</v>
          </cell>
          <cell r="K206">
            <v>1153.84</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1255.62</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9469.38</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2388.95</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v>
          </cell>
          <cell r="K263">
            <v>131.89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656170.19</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577.92</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5108.4</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20103.6</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1043.6</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69376.01</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589.3</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621.3</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5233.44</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2433754.55</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39307.38</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v>
          </cell>
          <cell r="M383">
            <v>136.98</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1072.1</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v>
          </cell>
          <cell r="M422">
            <v>350.64</v>
          </cell>
        </row>
        <row r="423">
          <cell r="A423" t="str">
            <v>O&amp;M</v>
          </cell>
          <cell r="C423">
            <v>16240</v>
          </cell>
          <cell r="D423" t="str">
            <v>16240</v>
          </cell>
          <cell r="E423" t="str">
            <v>Field Support Admin</v>
          </cell>
          <cell r="H423" t="str">
            <v>120</v>
          </cell>
          <cell r="I423" t="str">
            <v>BT</v>
          </cell>
          <cell r="J423">
            <v>34867.35</v>
          </cell>
          <cell r="K423">
            <v>288.28</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1322145.41</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8514.72</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653.17</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2062.7</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50754.56</v>
          </cell>
          <cell r="K497">
            <v>1258.36</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32194.64</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-22193.92</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34635.13</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v>
          </cell>
          <cell r="K510">
            <v>1481.55</v>
          </cell>
          <cell r="L510">
            <v>161.17</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-2177.74</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v>
          </cell>
        </row>
        <row r="544">
          <cell r="A544" t="str">
            <v>O&amp;M</v>
          </cell>
          <cell r="C544">
            <v>16300</v>
          </cell>
          <cell r="D544" t="str">
            <v>16300</v>
          </cell>
          <cell r="E544" t="str">
            <v>H9 - EMPLOYEE DEVELOPMENT  XXX</v>
          </cell>
          <cell r="H544" t="str">
            <v>120</v>
          </cell>
          <cell r="I544" t="str">
            <v>MT</v>
          </cell>
          <cell r="J544">
            <v>5337.37</v>
          </cell>
          <cell r="K544">
            <v>1045.74</v>
          </cell>
          <cell r="L544">
            <v>8.2</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39.23</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36431.92</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1190.86</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40369.59</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36026.13</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4979.61</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v>
          </cell>
          <cell r="K657">
            <v>4546.89</v>
          </cell>
          <cell r="L657">
            <v>2607.71</v>
          </cell>
          <cell r="M657">
            <v>4508.89</v>
          </cell>
        </row>
        <row r="658">
          <cell r="A658" t="str">
            <v>O&amp;M</v>
          </cell>
          <cell r="C658">
            <v>16370</v>
          </cell>
          <cell r="D658" t="str">
            <v>16370</v>
          </cell>
          <cell r="E658" t="str">
            <v>Transmission Maintenance Walpole</v>
          </cell>
          <cell r="H658" t="str">
            <v>120</v>
          </cell>
          <cell r="I658" t="str">
            <v>MT</v>
          </cell>
          <cell r="J658">
            <v>0</v>
          </cell>
          <cell r="M658">
            <v>-38190.27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551325.32</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546236.2</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320.9</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33821.2</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18222.35</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-329011.6</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10336171.37</v>
          </cell>
          <cell r="L715">
            <v>23504096.16</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5454187.82</v>
          </cell>
          <cell r="L717">
            <v>6150886.27</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2265363.01</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0.07</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2583905.26</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38.91</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38.73</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70.85</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33408.02</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549665.07</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10125.21</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137902.27</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322.28</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4595.23</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4434.15</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4496.19</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599.92</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67609.9</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-4661.44</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272653.35</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271832.1</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5062.98</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66087.51</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1072089.14</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7916463.93</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8314695.22</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144733.36</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1220.87</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8376407.22</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8908.96</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18665.26</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5076.69</v>
          </cell>
          <cell r="L1128">
            <v>577.83</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146641.11</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38929.28</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51078.56</v>
          </cell>
          <cell r="K1166">
            <v>-10382.05</v>
          </cell>
          <cell r="L1166">
            <v>2506.26</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323077.6</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8741.46</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573.92</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41827.92</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66985.29</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151716.36</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2267.24</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32806.95</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-1217.1</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73.49</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10184.21</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v>
          </cell>
          <cell r="M1321">
            <v>272.96</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2559795.03</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152311.11</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v>
          </cell>
          <cell r="K1327">
            <v>1317377.39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639092.58</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2636366.05</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522.92</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144.48</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v>
          </cell>
        </row>
        <row r="1353">
          <cell r="A1353" t="str">
            <v>O&amp;M</v>
          </cell>
          <cell r="C1353">
            <v>16720</v>
          </cell>
          <cell r="D1353" t="str">
            <v>16720</v>
          </cell>
          <cell r="E1353" t="str">
            <v>T8 - NEW CUSTOMER CONNECTIONS - 2 PR XXX</v>
          </cell>
          <cell r="H1353" t="str">
            <v>120</v>
          </cell>
          <cell r="I1353" t="str">
            <v>MT</v>
          </cell>
          <cell r="J1353">
            <v>-2529.95</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1275496.64</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-4111.11</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662529.69</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136922.83</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539901.08</v>
          </cell>
          <cell r="K1404">
            <v>1237158.64</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v>
          </cell>
          <cell r="M1416">
            <v>4111.11</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25881.12</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2286.95</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17545.35</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-47452.96</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51747.52</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162931.86</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9992.22</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309.09</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75848.76</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1120681.91</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2582800.01</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-1099122.14</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2362130.26</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615404.69</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1106998.16</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9853.46</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156.92</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17791.6</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157739.02</v>
          </cell>
          <cell r="K1665">
            <v>633989.43</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2644222.3</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661667.94</v>
          </cell>
          <cell r="M1670">
            <v>146.36</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4490.61</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47994.56</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56169.6</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1218381.63</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v>
          </cell>
          <cell r="K1705">
            <v>0</v>
          </cell>
          <cell r="M1705">
            <v>-64.99</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314537.16</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4315.73</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80.07</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v>
          </cell>
          <cell r="M1744">
            <v>139310</v>
          </cell>
        </row>
        <row r="1745">
          <cell r="A1745" t="str">
            <v>CAP</v>
          </cell>
          <cell r="C1745">
            <v>16870</v>
          </cell>
          <cell r="D1745" t="str">
            <v>16870</v>
          </cell>
          <cell r="E1745" t="str">
            <v>EP - C &amp; S EXTERNAL PROJECTSXXX</v>
          </cell>
          <cell r="H1745" t="str">
            <v>120</v>
          </cell>
          <cell r="I1745" t="str">
            <v>CL</v>
          </cell>
          <cell r="J1745">
            <v>4885.4</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v>
          </cell>
          <cell r="K1754">
            <v>11944217.36</v>
          </cell>
          <cell r="L1754">
            <v>11658741.3</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-643539.32</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-5585269.34</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534.3</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1213.36</v>
          </cell>
          <cell r="M1775">
            <v>519</v>
          </cell>
        </row>
        <row r="1776">
          <cell r="A1776" t="str">
            <v>O&amp;M</v>
          </cell>
          <cell r="C1776">
            <v>20932</v>
          </cell>
          <cell r="D1776" t="str">
            <v>20932</v>
          </cell>
          <cell r="E1776" t="str">
            <v>S2 - WORK COORDINATION #3 DEPTXXX</v>
          </cell>
          <cell r="H1776" t="str">
            <v>120</v>
          </cell>
          <cell r="I1776" t="str">
            <v>LT</v>
          </cell>
          <cell r="L1776">
            <v>134.8</v>
          </cell>
        </row>
        <row r="1777">
          <cell r="A1777" t="str">
            <v>O&amp;M</v>
          </cell>
          <cell r="C1777">
            <v>20940</v>
          </cell>
          <cell r="D1777" t="str">
            <v>20940</v>
          </cell>
          <cell r="E1777" t="str">
            <v>G4 - ELECTRIC DELIVERY BUSINESS GROUP</v>
          </cell>
          <cell r="H1777" t="str">
            <v>120</v>
          </cell>
          <cell r="I1777" t="str">
            <v>LT</v>
          </cell>
          <cell r="J1777">
            <v>19162.99</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63898.56</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21147.28</v>
          </cell>
          <cell r="K1800">
            <v>8791.55</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40.23</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35746.96</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18415.51</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-9885.72</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160.98</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634.68</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2187700.57</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1026.36</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594033.94</v>
          </cell>
          <cell r="K1969">
            <v>148032.95</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18900.17</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v>
          </cell>
          <cell r="M1983">
            <v>512.46</v>
          </cell>
        </row>
        <row r="1984">
          <cell r="A1984" t="str">
            <v>O&amp;M</v>
          </cell>
          <cell r="C1984">
            <v>21190</v>
          </cell>
          <cell r="D1984" t="str">
            <v>21190</v>
          </cell>
          <cell r="E1984" t="str">
            <v>Volume South</v>
          </cell>
          <cell r="H1984" t="str">
            <v>120</v>
          </cell>
          <cell r="I1984" t="str">
            <v>OT</v>
          </cell>
          <cell r="J1984">
            <v>1715.82</v>
          </cell>
          <cell r="K1984">
            <v>2243.97</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9529.22</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238246.4</v>
          </cell>
          <cell r="L1993">
            <v>-39336.66</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40720.38</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37.3</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110951.04</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39939.88</v>
          </cell>
          <cell r="L2040">
            <v>4890.73</v>
          </cell>
        </row>
        <row r="2041">
          <cell r="A2041" t="str">
            <v>O&amp;M</v>
          </cell>
          <cell r="C2041">
            <v>21235</v>
          </cell>
          <cell r="D2041" t="str">
            <v>21235</v>
          </cell>
          <cell r="E2041" t="str">
            <v>Account Support</v>
          </cell>
          <cell r="H2041" t="str">
            <v>120</v>
          </cell>
          <cell r="I2041" t="str">
            <v>LT</v>
          </cell>
          <cell r="J2041">
            <v>304585.45</v>
          </cell>
          <cell r="K2041">
            <v>152942.35</v>
          </cell>
          <cell r="L2041">
            <v>8418.88</v>
          </cell>
          <cell r="M2041">
            <v>-1125.11</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570.67</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134888.52</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4284.94</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34628.38</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60050.56</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22641.12</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160122.24</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548.31</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9573.63</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10010.88</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4232.94</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282810.79</v>
          </cell>
          <cell r="K2149">
            <v>73620.24</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272179.54</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135253.27</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18922.17</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17.33</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22641.12</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22641.12</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35151.63</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68628.48</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17310.17</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1207.59</v>
          </cell>
          <cell r="M2225">
            <v>4871.48</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4714.23</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22641.12</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20505.35</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22862.8</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326.03</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-150.95</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-2439.93</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v>
          </cell>
          <cell r="K2294">
            <v>9036.55</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22641.12</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2108.49</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6496080.28</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70.71</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35751.52</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v>
          </cell>
          <cell r="K2325">
            <v>2218.03</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8658.05</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-1266127.4</v>
          </cell>
          <cell r="L2337">
            <v>-1232938.86</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v>
          </cell>
          <cell r="M2345">
            <v>16516.67</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9908.46</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78.46</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593.17</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158760.3</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v>
          </cell>
          <cell r="K2367">
            <v>6145.7</v>
          </cell>
          <cell r="L2367">
            <v>4867.27</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527969.19</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17261.94</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4109.11</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535.18</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77129.9</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v>
          </cell>
          <cell r="K2465">
            <v>9887.37</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323617.41</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4607.44</v>
          </cell>
          <cell r="K2469">
            <v>532.42</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40211.6</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166848.58</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148.64</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40154.59</v>
          </cell>
        </row>
        <row r="2506">
          <cell r="A2506" t="str">
            <v>O&amp;M</v>
          </cell>
          <cell r="C2506">
            <v>21820</v>
          </cell>
          <cell r="D2506" t="str">
            <v>21820</v>
          </cell>
          <cell r="E2506" t="str">
            <v>EM - ENERGY MANAGEMENT SYSTEM</v>
          </cell>
          <cell r="H2506" t="str">
            <v>120</v>
          </cell>
          <cell r="I2506" t="str">
            <v>BT</v>
          </cell>
          <cell r="J2506">
            <v>17786.33</v>
          </cell>
          <cell r="M2506">
            <v>636393.29</v>
          </cell>
        </row>
        <row r="2507">
          <cell r="A2507" t="str">
            <v>O&amp;M</v>
          </cell>
          <cell r="C2507">
            <v>21825</v>
          </cell>
          <cell r="D2507" t="str">
            <v>21825</v>
          </cell>
          <cell r="E2507" t="str">
            <v>PS - POWER SYSTEM SERVICES</v>
          </cell>
          <cell r="H2507" t="str">
            <v>120</v>
          </cell>
          <cell r="I2507" t="str">
            <v>BT</v>
          </cell>
          <cell r="J2507">
            <v>8990.55</v>
          </cell>
          <cell r="K2507">
            <v>0</v>
          </cell>
        </row>
        <row r="2508">
          <cell r="A2508" t="str">
            <v>O&amp;M</v>
          </cell>
          <cell r="C2508">
            <v>21830</v>
          </cell>
          <cell r="D2508" t="str">
            <v>21830</v>
          </cell>
          <cell r="E2508" t="str">
            <v>RB - SPECIAL PROJECT</v>
          </cell>
          <cell r="H2508" t="str">
            <v>120</v>
          </cell>
          <cell r="I2508" t="str">
            <v>BT</v>
          </cell>
          <cell r="K2508">
            <v>18.65</v>
          </cell>
          <cell r="M2508">
            <v>2364518.57</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1263.12</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272014.35</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81110.79</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642.3</v>
          </cell>
          <cell r="K2570">
            <v>2072.53</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8569.46</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22605.92</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144412.33</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v>
          </cell>
          <cell r="L2589">
            <v>-14589.86</v>
          </cell>
          <cell r="M2589">
            <v>6727200.48</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8624800.1</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33348.52</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v>
          </cell>
          <cell r="K2619">
            <v>1960.65</v>
          </cell>
          <cell r="L2619">
            <v>3044.5</v>
          </cell>
          <cell r="M2619">
            <v>294.22</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-6701701.35</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15923.8800000002</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39.05</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302.9</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135737.86</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138819.11</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25583.28</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579259.19</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16630.67</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20591.35</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5168.86</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23880.96</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v>
          </cell>
          <cell r="L2687">
            <v>16612.51</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1155731.63</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4209.19</v>
          </cell>
          <cell r="M2710">
            <v>35264.95</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137885.77</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7168425.34</v>
          </cell>
          <cell r="K2722">
            <v>6805437.13</v>
          </cell>
          <cell r="L2722">
            <v>860616.42</v>
          </cell>
          <cell r="M2722">
            <v>68493.82</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v>
          </cell>
          <cell r="L2730">
            <v>0</v>
          </cell>
        </row>
        <row r="2731">
          <cell r="A2731" t="str">
            <v>O&amp;M</v>
          </cell>
          <cell r="C2731">
            <v>23090</v>
          </cell>
          <cell r="D2731" t="str">
            <v>23090</v>
          </cell>
          <cell r="E2731" t="str">
            <v>RW - CARRYOVER/UNBUDGETED CHARGES</v>
          </cell>
          <cell r="H2731" t="str">
            <v>120</v>
          </cell>
          <cell r="I2731" t="str">
            <v>IT</v>
          </cell>
          <cell r="J2731">
            <v>315.03</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-2306.72</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77581172.82</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591.68</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2222.2</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6652142.55</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32.98</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634654.2</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588.43</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1305.1</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17475.6</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290160.6</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10217.71</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4722.65</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2495.93</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4632.23</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17989.42</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179291.52</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36624.02</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1090.84</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61037.28</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2581.49</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276.84</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159174.77</v>
          </cell>
          <cell r="K3005">
            <v>-217.92</v>
          </cell>
        </row>
        <row r="3006">
          <cell r="A3006" t="str">
            <v>O&amp;M</v>
          </cell>
          <cell r="C3006">
            <v>23315</v>
          </cell>
          <cell r="D3006" t="str">
            <v>23315</v>
          </cell>
          <cell r="E3006" t="str">
            <v>L0 - PLANNING AND ACQUISITION</v>
          </cell>
          <cell r="H3006" t="str">
            <v>120</v>
          </cell>
          <cell r="I3006" t="str">
            <v>MT</v>
          </cell>
          <cell r="J3006">
            <v>651.33</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4961.65</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v>
          </cell>
          <cell r="K3011">
            <v>17635.22</v>
          </cell>
        </row>
        <row r="3012">
          <cell r="A3012" t="str">
            <v>O&amp;M</v>
          </cell>
          <cell r="C3012">
            <v>23320</v>
          </cell>
          <cell r="D3012" t="str">
            <v>23320</v>
          </cell>
          <cell r="E3012" t="str">
            <v>M1 - DISTRIBUTION AND WAREHOUSING</v>
          </cell>
          <cell r="H3012" t="str">
            <v>120</v>
          </cell>
          <cell r="I3012" t="str">
            <v>MT</v>
          </cell>
          <cell r="J3012">
            <v>76.6</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4353.9</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17434.1</v>
          </cell>
        </row>
        <row r="3017">
          <cell r="A3017" t="str">
            <v>O&amp;M</v>
          </cell>
          <cell r="C3017">
            <v>23325</v>
          </cell>
          <cell r="D3017" t="str">
            <v>23325</v>
          </cell>
          <cell r="E3017" t="str">
            <v>5B-Meter Lab</v>
          </cell>
          <cell r="H3017" t="str">
            <v>120</v>
          </cell>
          <cell r="I3017" t="str">
            <v>LT</v>
          </cell>
          <cell r="J3017">
            <v>76814.03</v>
          </cell>
          <cell r="K3017">
            <v>24596.24</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v>
          </cell>
          <cell r="K3020">
            <v>1279.85</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2089.7</v>
          </cell>
          <cell r="K3030">
            <v>17078.4</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2065.93</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79957.18</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80640.79</v>
          </cell>
          <cell r="K3051">
            <v>3642.16</v>
          </cell>
          <cell r="M3051">
            <v>83790.29</v>
          </cell>
        </row>
        <row r="3052">
          <cell r="A3052" t="str">
            <v>O&amp;M</v>
          </cell>
          <cell r="C3052">
            <v>23360</v>
          </cell>
          <cell r="D3052" t="str">
            <v>23360</v>
          </cell>
          <cell r="E3052" t="str">
            <v>M9 - Tool Management</v>
          </cell>
          <cell r="H3052" t="str">
            <v>120</v>
          </cell>
          <cell r="I3052" t="str">
            <v>IT</v>
          </cell>
          <cell r="J3052">
            <v>11425.42</v>
          </cell>
          <cell r="K3052">
            <v>4214.23</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1144.61</v>
          </cell>
        </row>
        <row r="3058">
          <cell r="A3058" t="str">
            <v>O&amp;M</v>
          </cell>
          <cell r="C3058">
            <v>23400</v>
          </cell>
          <cell r="D3058" t="str">
            <v>23400</v>
          </cell>
          <cell r="E3058" t="str">
            <v>D2 - ENGINEERING SERVICES GROUP XXX</v>
          </cell>
          <cell r="H3058" t="str">
            <v>120</v>
          </cell>
          <cell r="I3058" t="str">
            <v>IT</v>
          </cell>
          <cell r="J3058">
            <v>-4102.1</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66.96</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4930.44</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-17.33</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v>
          </cell>
          <cell r="K3074">
            <v>4450</v>
          </cell>
        </row>
        <row r="3075">
          <cell r="A3075" t="str">
            <v>O&amp;M</v>
          </cell>
          <cell r="C3075">
            <v>23420</v>
          </cell>
          <cell r="D3075" t="str">
            <v>23420</v>
          </cell>
          <cell r="E3075" t="str">
            <v>L7 - MECHANICAL/CIVIL/STRUCTURE DEPT XXX</v>
          </cell>
          <cell r="H3075" t="str">
            <v>120</v>
          </cell>
          <cell r="I3075" t="str">
            <v>LT</v>
          </cell>
          <cell r="J3075">
            <v>26496.88</v>
          </cell>
        </row>
        <row r="3076">
          <cell r="A3076" t="str">
            <v>O&amp;M</v>
          </cell>
          <cell r="C3076">
            <v>23420</v>
          </cell>
          <cell r="D3076" t="str">
            <v>23420</v>
          </cell>
          <cell r="E3076" t="str">
            <v>L7 - MECHANICAL/CIVIL/STRUCTURE DEPT XXX</v>
          </cell>
          <cell r="H3076" t="str">
            <v>120</v>
          </cell>
          <cell r="I3076" t="str">
            <v>OT</v>
          </cell>
          <cell r="J3076">
            <v>30561.12</v>
          </cell>
        </row>
        <row r="3077">
          <cell r="A3077" t="str">
            <v>O&amp;M</v>
          </cell>
          <cell r="C3077">
            <v>23420</v>
          </cell>
          <cell r="D3077" t="str">
            <v>23420</v>
          </cell>
          <cell r="E3077" t="str">
            <v>L7 - MECHANICAL/CIVIL/STRUCTURE DEPT XXX</v>
          </cell>
          <cell r="H3077" t="str">
            <v>120</v>
          </cell>
          <cell r="I3077" t="str">
            <v>TT</v>
          </cell>
          <cell r="J3077">
            <v>521.69</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68135.76</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20387.17</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v>
          </cell>
          <cell r="K3126">
            <v>1622722.37</v>
          </cell>
          <cell r="M3126">
            <v>520.43</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29799.12</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32.48</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18202.94</v>
          </cell>
          <cell r="L3162">
            <v>27109.28</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-23303.28</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v>
          </cell>
          <cell r="M3172">
            <v>603.67</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-1433021.44</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7163775.59</v>
          </cell>
          <cell r="K3187">
            <v>305032.27</v>
          </cell>
          <cell r="L3187">
            <v>133.89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5772129.68</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2115.49</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-16045084.37</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-8472.97</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-137.14</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-294612.1</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2398.72</v>
          </cell>
          <cell r="L3237">
            <v>2104.18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641256.08</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71655.54</v>
          </cell>
          <cell r="K3247">
            <v>50059.75</v>
          </cell>
          <cell r="M3247">
            <v>134.14</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v>
          </cell>
          <cell r="K3250">
            <v>38547.44</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143081.52</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71133.18</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71014.9</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602.3</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162697.36</v>
          </cell>
          <cell r="K3277">
            <v>-9817.87</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35539.63</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133281.08</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567.17</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1153665.14</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96824.64</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36479.6</v>
          </cell>
          <cell r="K3313">
            <v>6545.03</v>
          </cell>
          <cell r="M3313">
            <v>-539.07</v>
          </cell>
        </row>
        <row r="3314">
          <cell r="A3314" t="str">
            <v>O&amp;M</v>
          </cell>
          <cell r="C3314">
            <v>26165</v>
          </cell>
          <cell r="D3314" t="str">
            <v>26165</v>
          </cell>
          <cell r="E3314" t="str">
            <v>Federal Relations</v>
          </cell>
          <cell r="H3314" t="str">
            <v>120</v>
          </cell>
          <cell r="I3314" t="str">
            <v>IT</v>
          </cell>
          <cell r="J3314">
            <v>23047.79</v>
          </cell>
          <cell r="K3314">
            <v>45</v>
          </cell>
          <cell r="M3314">
            <v>9460473.01</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v>
          </cell>
          <cell r="L3318">
            <v>626.39</v>
          </cell>
          <cell r="M3318">
            <v>40496.95</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4647.11</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4203.73</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148438.33</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660200.69</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2608.2</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70047.51</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20463.26</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-289601.72</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2348.95</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141503.11</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653.17</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21202.64</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GIANT FOOD #</v>
          </cell>
          <cell r="Q6" t="str">
            <v>100    SI8</v>
          </cell>
          <cell r="R6" t="str">
            <v>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v>
          </cell>
          <cell r="L7">
            <v>19.67</v>
          </cell>
          <cell r="P7" t="str">
            <v> GIANT FOOD #</v>
          </cell>
          <cell r="Q7" t="str">
            <v>120    SI8</v>
          </cell>
          <cell r="R7" t="str">
            <v>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GIANT FOOD #</v>
          </cell>
          <cell r="Q8" t="str">
            <v>120    SI8</v>
          </cell>
          <cell r="R8" t="str">
            <v>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GIANT FOOD #</v>
          </cell>
          <cell r="Q9" t="str">
            <v>120    SI8</v>
          </cell>
          <cell r="R9" t="str">
            <v>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L'KOSTE VILL</v>
          </cell>
          <cell r="Q10" t="str">
            <v>A</v>
          </cell>
          <cell r="R10" t="str">
            <v>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PALUMBO PIZZ</v>
          </cell>
          <cell r="Q11" t="str">
            <v>A &amp; RES</v>
          </cell>
          <cell r="R11" t="str">
            <v>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KEARES RESTA</v>
          </cell>
          <cell r="Q12" t="str">
            <v>URANT GROU</v>
          </cell>
          <cell r="R12" t="str">
            <v>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TAVERN ON TH</v>
          </cell>
          <cell r="Q13" t="str">
            <v>E HILL</v>
          </cell>
          <cell r="R13" t="str">
            <v>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HOSS'S STEAK</v>
          </cell>
          <cell r="Q14" t="str">
            <v> &amp; SEA H</v>
          </cell>
          <cell r="R14" t="str">
            <v>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DOE &amp; JERRY</v>
          </cell>
          <cell r="Q15" t="str">
            <v>S BARBECUE</v>
          </cell>
          <cell r="R15" t="str">
            <v>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L'KOSTE VILL</v>
          </cell>
          <cell r="Q16" t="str">
            <v>A</v>
          </cell>
          <cell r="R16" t="str">
            <v>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L'KOSTE VILL</v>
          </cell>
          <cell r="Q17" t="str">
            <v>A</v>
          </cell>
          <cell r="R17" t="str">
            <v>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PIZZA HUT 73</v>
          </cell>
          <cell r="Q18" t="str">
            <v>9104</v>
          </cell>
          <cell r="R18" t="str">
            <v>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L'KOSTE VILL</v>
          </cell>
          <cell r="Q19" t="str">
            <v>A</v>
          </cell>
          <cell r="R19" t="str">
            <v>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PIZZA HUT 73</v>
          </cell>
          <cell r="Q20" t="str">
            <v>9104</v>
          </cell>
          <cell r="R20" t="str">
            <v>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HARDING S</v>
          </cell>
          <cell r="R21" t="str">
            <v>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HARDING S</v>
          </cell>
          <cell r="R22" t="str">
            <v>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L'KOSTE VILL</v>
          </cell>
          <cell r="Q23" t="str">
            <v>A</v>
          </cell>
          <cell r="R23" t="str">
            <v>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L'KOSTE VILL</v>
          </cell>
          <cell r="Q24" t="str">
            <v>A</v>
          </cell>
          <cell r="R24" t="str">
            <v>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L'KOSTE VILL</v>
          </cell>
          <cell r="Q25" t="str">
            <v>A</v>
          </cell>
          <cell r="R25" t="str">
            <v>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L'KOSTE VILL</v>
          </cell>
          <cell r="Q26" t="str">
            <v>A</v>
          </cell>
          <cell r="R26" t="str">
            <v>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HARDING S</v>
          </cell>
          <cell r="R27" t="str">
            <v>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HARDING S</v>
          </cell>
          <cell r="R28" t="str">
            <v>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HARDING S</v>
          </cell>
          <cell r="R29" t="str">
            <v>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CHEF WONG</v>
          </cell>
          <cell r="R30" t="str">
            <v>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L'KOSTE VILL</v>
          </cell>
          <cell r="Q31" t="str">
            <v>A</v>
          </cell>
          <cell r="R31" t="str">
            <v>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L'KOSTE VILL</v>
          </cell>
          <cell r="Q32" t="str">
            <v>A</v>
          </cell>
          <cell r="R32" t="str">
            <v>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HARDING S</v>
          </cell>
          <cell r="R33" t="str">
            <v>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L'KOSTE VILL</v>
          </cell>
          <cell r="Q34" t="str">
            <v>A</v>
          </cell>
          <cell r="R34" t="str">
            <v>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HARDING S</v>
          </cell>
          <cell r="R35" t="str">
            <v>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DOE &amp; JERRY</v>
          </cell>
          <cell r="Q36" t="str">
            <v>S BARBECUE</v>
          </cell>
          <cell r="R36" t="str">
            <v>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DOE &amp; JERRY</v>
          </cell>
          <cell r="Q37" t="str">
            <v>S BARBECUE</v>
          </cell>
          <cell r="R37" t="str">
            <v>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HARDING S</v>
          </cell>
          <cell r="R38" t="str">
            <v>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586.18</v>
          </cell>
          <cell r="L39">
            <v>586.18</v>
          </cell>
          <cell r="P39" t="str">
            <v> HARDING S</v>
          </cell>
          <cell r="R39" t="str">
            <v>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DOE &amp; JERRY</v>
          </cell>
          <cell r="Q40" t="str">
            <v>S BARBECUE</v>
          </cell>
          <cell r="R40" t="str">
            <v>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v>
          </cell>
          <cell r="L41">
            <v>630.7</v>
          </cell>
          <cell r="P41" t="str">
            <v> RUBINICS CAT</v>
          </cell>
          <cell r="Q41" t="str">
            <v>ERING SERV</v>
          </cell>
          <cell r="R41" t="str">
            <v>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HARDING S</v>
          </cell>
          <cell r="R42" t="str">
            <v>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DOE &amp; JERRY</v>
          </cell>
          <cell r="Q43" t="str">
            <v>S BARBECUE</v>
          </cell>
          <cell r="R43" t="str">
            <v>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DOE &amp; JERRY</v>
          </cell>
          <cell r="Q44" t="str">
            <v>S BARBECUE</v>
          </cell>
          <cell r="R44" t="str">
            <v>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v>
          </cell>
        </row>
        <row r="97">
          <cell r="B97">
            <v>38384</v>
          </cell>
          <cell r="C97">
            <v>6.7783</v>
          </cell>
        </row>
        <row r="98">
          <cell r="B98">
            <v>38412</v>
          </cell>
          <cell r="C98">
            <v>7.0306</v>
          </cell>
        </row>
        <row r="99">
          <cell r="B99">
            <v>38443</v>
          </cell>
          <cell r="C99">
            <v>7.1192</v>
          </cell>
        </row>
        <row r="100">
          <cell r="B100">
            <v>38473</v>
          </cell>
          <cell r="C100">
            <v>6.4543</v>
          </cell>
        </row>
        <row r="101">
          <cell r="B101">
            <v>38504</v>
          </cell>
          <cell r="C101">
            <v>6.0772</v>
          </cell>
        </row>
        <row r="102">
          <cell r="B102">
            <v>38534</v>
          </cell>
          <cell r="C102">
            <v>6.1077</v>
          </cell>
        </row>
        <row r="103">
          <cell r="B103">
            <v>38565</v>
          </cell>
          <cell r="C103">
            <v>6.2251</v>
          </cell>
        </row>
        <row r="104">
          <cell r="B104">
            <v>38596</v>
          </cell>
          <cell r="C104">
            <v>7.0207</v>
          </cell>
        </row>
        <row r="105">
          <cell r="B105">
            <v>38626</v>
          </cell>
          <cell r="C105">
            <v>10.5701</v>
          </cell>
        </row>
        <row r="106">
          <cell r="B106">
            <v>38657</v>
          </cell>
          <cell r="C106">
            <v>12.042</v>
          </cell>
        </row>
        <row r="107">
          <cell r="B107">
            <v>38687</v>
          </cell>
          <cell r="C107">
            <v>11.069</v>
          </cell>
        </row>
        <row r="108">
          <cell r="B108">
            <v>38718</v>
          </cell>
          <cell r="C108">
            <v>10.8204</v>
          </cell>
        </row>
        <row r="109">
          <cell r="B109">
            <v>38749</v>
          </cell>
          <cell r="C109">
            <v>9.9864</v>
          </cell>
        </row>
        <row r="110">
          <cell r="B110">
            <v>38777</v>
          </cell>
          <cell r="C110">
            <v>12.1105</v>
          </cell>
        </row>
        <row r="111">
          <cell r="B111">
            <v>38808</v>
          </cell>
          <cell r="C111">
            <v>10.4755</v>
          </cell>
        </row>
        <row r="112">
          <cell r="B112">
            <v>38838</v>
          </cell>
          <cell r="C112">
            <v>8.9533</v>
          </cell>
        </row>
        <row r="113">
          <cell r="B113">
            <v>38869</v>
          </cell>
          <cell r="C113">
            <v>8.7005</v>
          </cell>
        </row>
        <row r="114">
          <cell r="B114">
            <v>38899</v>
          </cell>
          <cell r="C114">
            <v>8.307</v>
          </cell>
        </row>
        <row r="115">
          <cell r="B115">
            <v>38930</v>
          </cell>
          <cell r="C115">
            <v>9.666</v>
          </cell>
        </row>
        <row r="116">
          <cell r="B116">
            <v>38961</v>
          </cell>
          <cell r="C116">
            <v>10.7373</v>
          </cell>
        </row>
        <row r="117">
          <cell r="B117">
            <v>38991</v>
          </cell>
          <cell r="C117">
            <v>9.7626</v>
          </cell>
        </row>
        <row r="118">
          <cell r="B118">
            <v>39022</v>
          </cell>
          <cell r="C118">
            <v>9.4422</v>
          </cell>
        </row>
        <row r="119">
          <cell r="B119">
            <v>39052</v>
          </cell>
          <cell r="C119">
            <v>9.2276</v>
          </cell>
        </row>
        <row r="120">
          <cell r="B120">
            <v>39083</v>
          </cell>
          <cell r="C120">
            <v>9.4621</v>
          </cell>
        </row>
        <row r="121">
          <cell r="B121">
            <v>39114</v>
          </cell>
          <cell r="C121">
            <v>9.2688</v>
          </cell>
        </row>
        <row r="122">
          <cell r="B122">
            <v>39142</v>
          </cell>
          <cell r="C122">
            <v>9.3672</v>
          </cell>
        </row>
        <row r="123">
          <cell r="B123">
            <v>39173</v>
          </cell>
          <cell r="C123">
            <v>8.9057</v>
          </cell>
        </row>
        <row r="124">
          <cell r="B124">
            <v>39203</v>
          </cell>
          <cell r="C124">
            <v>8.4395</v>
          </cell>
        </row>
        <row r="125">
          <cell r="B125">
            <v>39234</v>
          </cell>
          <cell r="C125">
            <v>8.599</v>
          </cell>
        </row>
        <row r="126">
          <cell r="B126">
            <v>39264</v>
          </cell>
          <cell r="C126">
            <v>8.7819</v>
          </cell>
        </row>
        <row r="127">
          <cell r="B127">
            <v>39295</v>
          </cell>
          <cell r="C127">
            <v>8.1499</v>
          </cell>
        </row>
        <row r="128">
          <cell r="B128">
            <v>39326</v>
          </cell>
          <cell r="C128">
            <v>8.0441</v>
          </cell>
        </row>
        <row r="129">
          <cell r="B129">
            <v>39356</v>
          </cell>
          <cell r="C129">
            <v>8.7649</v>
          </cell>
        </row>
        <row r="130">
          <cell r="B130">
            <v>39387</v>
          </cell>
          <cell r="C130">
            <v>9.4422</v>
          </cell>
        </row>
        <row r="131">
          <cell r="B131">
            <v>39417</v>
          </cell>
          <cell r="C131">
            <v>9.2276</v>
          </cell>
        </row>
        <row r="132">
          <cell r="B132">
            <v>39448</v>
          </cell>
          <cell r="C132">
            <v>9.4621</v>
          </cell>
        </row>
        <row r="133">
          <cell r="B133">
            <v>39479</v>
          </cell>
          <cell r="C133">
            <v>9.2688</v>
          </cell>
        </row>
        <row r="134">
          <cell r="B134">
            <v>39508</v>
          </cell>
          <cell r="C134">
            <v>9.3672</v>
          </cell>
        </row>
        <row r="135">
          <cell r="B135">
            <v>39539</v>
          </cell>
          <cell r="C135">
            <v>8.9057</v>
          </cell>
        </row>
        <row r="136">
          <cell r="B136">
            <v>39569</v>
          </cell>
          <cell r="C136">
            <v>8.4395</v>
          </cell>
        </row>
        <row r="137">
          <cell r="B137">
            <v>39600</v>
          </cell>
          <cell r="C137">
            <v>8.599</v>
          </cell>
        </row>
        <row r="138">
          <cell r="B138">
            <v>39630</v>
          </cell>
          <cell r="C138">
            <v>8.7819</v>
          </cell>
        </row>
        <row r="139">
          <cell r="B139">
            <v>39661</v>
          </cell>
          <cell r="C139">
            <v>8.1499</v>
          </cell>
        </row>
        <row r="140">
          <cell r="B140">
            <v>39692</v>
          </cell>
          <cell r="C140">
            <v>8.0441</v>
          </cell>
        </row>
        <row r="141">
          <cell r="B141">
            <v>39722</v>
          </cell>
          <cell r="C141">
            <v>8.7649</v>
          </cell>
        </row>
        <row r="142">
          <cell r="B142">
            <v>39753</v>
          </cell>
          <cell r="C142">
            <v>9.4422</v>
          </cell>
        </row>
        <row r="143">
          <cell r="B143">
            <v>39783</v>
          </cell>
          <cell r="C143">
            <v>9.2276</v>
          </cell>
        </row>
        <row r="144">
          <cell r="B144">
            <v>39814</v>
          </cell>
          <cell r="C144">
            <v>9.4621</v>
          </cell>
        </row>
        <row r="145">
          <cell r="B145">
            <v>39845</v>
          </cell>
          <cell r="C145">
            <v>9.2688</v>
          </cell>
        </row>
        <row r="146">
          <cell r="B146">
            <v>39873</v>
          </cell>
          <cell r="C146">
            <v>9.3672</v>
          </cell>
        </row>
        <row r="147">
          <cell r="B147">
            <v>39904</v>
          </cell>
          <cell r="C147">
            <v>8.9057</v>
          </cell>
        </row>
        <row r="148">
          <cell r="B148">
            <v>39934</v>
          </cell>
          <cell r="C148">
            <v>8.4395</v>
          </cell>
        </row>
        <row r="149">
          <cell r="B149">
            <v>39965</v>
          </cell>
          <cell r="C149">
            <v>8.599</v>
          </cell>
        </row>
        <row r="150">
          <cell r="B150">
            <v>39995</v>
          </cell>
          <cell r="C150">
            <v>8.7819</v>
          </cell>
        </row>
        <row r="151">
          <cell r="B151">
            <v>40026</v>
          </cell>
          <cell r="C151">
            <v>8.1499</v>
          </cell>
        </row>
        <row r="152">
          <cell r="B152">
            <v>40057</v>
          </cell>
          <cell r="C152">
            <v>8.0441</v>
          </cell>
        </row>
        <row r="153">
          <cell r="B153">
            <v>40087</v>
          </cell>
          <cell r="C153">
            <v>8.7649</v>
          </cell>
        </row>
        <row r="154">
          <cell r="B154">
            <v>40118</v>
          </cell>
          <cell r="C154">
            <v>9.4422</v>
          </cell>
        </row>
        <row r="155">
          <cell r="B155">
            <v>40148</v>
          </cell>
          <cell r="C155">
            <v>9.2276</v>
          </cell>
        </row>
        <row r="156">
          <cell r="B156">
            <v>40179</v>
          </cell>
          <cell r="C156">
            <v>9.4621</v>
          </cell>
        </row>
        <row r="157">
          <cell r="B157">
            <v>40210</v>
          </cell>
          <cell r="C157">
            <v>9.2688</v>
          </cell>
        </row>
        <row r="158">
          <cell r="B158">
            <v>40238</v>
          </cell>
          <cell r="C158">
            <v>9.3672</v>
          </cell>
        </row>
        <row r="159">
          <cell r="B159">
            <v>40269</v>
          </cell>
          <cell r="C159">
            <v>8.9057</v>
          </cell>
        </row>
        <row r="160">
          <cell r="B160">
            <v>40299</v>
          </cell>
          <cell r="C160">
            <v>8.4395</v>
          </cell>
        </row>
        <row r="161">
          <cell r="B161">
            <v>40330</v>
          </cell>
          <cell r="C161">
            <v>8.599</v>
          </cell>
        </row>
        <row r="162">
          <cell r="B162">
            <v>40360</v>
          </cell>
          <cell r="C162">
            <v>8.7819</v>
          </cell>
        </row>
        <row r="163">
          <cell r="B163">
            <v>40391</v>
          </cell>
          <cell r="C163">
            <v>8.1499</v>
          </cell>
        </row>
        <row r="164">
          <cell r="B164">
            <v>40422</v>
          </cell>
          <cell r="C164">
            <v>8.0441</v>
          </cell>
        </row>
        <row r="165">
          <cell r="B165">
            <v>40452</v>
          </cell>
          <cell r="C165">
            <v>8.7649</v>
          </cell>
        </row>
        <row r="166">
          <cell r="B166">
            <v>40483</v>
          </cell>
          <cell r="C166">
            <v>9.4422</v>
          </cell>
        </row>
        <row r="167">
          <cell r="B167">
            <v>40513</v>
          </cell>
          <cell r="C167">
            <v>9.2276</v>
          </cell>
        </row>
        <row r="168">
          <cell r="B168">
            <v>40544</v>
          </cell>
          <cell r="C168">
            <v>9.4621</v>
          </cell>
        </row>
        <row r="169">
          <cell r="B169">
            <v>40575</v>
          </cell>
          <cell r="C169">
            <v>9.2688</v>
          </cell>
        </row>
        <row r="170">
          <cell r="B170">
            <v>40603</v>
          </cell>
          <cell r="C170">
            <v>9.3672</v>
          </cell>
        </row>
        <row r="171">
          <cell r="B171">
            <v>40634</v>
          </cell>
          <cell r="C171">
            <v>8.9057</v>
          </cell>
        </row>
        <row r="172">
          <cell r="B172">
            <v>40664</v>
          </cell>
          <cell r="C172">
            <v>8.4395</v>
          </cell>
        </row>
        <row r="173">
          <cell r="B173">
            <v>40695</v>
          </cell>
          <cell r="C173">
            <v>8.599</v>
          </cell>
        </row>
        <row r="174">
          <cell r="B174">
            <v>40725</v>
          </cell>
          <cell r="C174">
            <v>8.7819</v>
          </cell>
        </row>
        <row r="175">
          <cell r="B175">
            <v>40756</v>
          </cell>
          <cell r="C175">
            <v>8.1499</v>
          </cell>
        </row>
        <row r="176">
          <cell r="B176">
            <v>40787</v>
          </cell>
          <cell r="C176">
            <v>8.0441</v>
          </cell>
        </row>
        <row r="177">
          <cell r="B177">
            <v>40817</v>
          </cell>
          <cell r="C177">
            <v>8.7649</v>
          </cell>
        </row>
        <row r="178">
          <cell r="B178">
            <v>40848</v>
          </cell>
          <cell r="C178">
            <v>9.4422</v>
          </cell>
        </row>
        <row r="179">
          <cell r="B179">
            <v>40878</v>
          </cell>
          <cell r="C179">
            <v>9.2276</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 sheetId="457"/>
      <sheetData sheetId="458"/>
      <sheetData sheetId="459"/>
      <sheetData sheetId="460"/>
      <sheetData sheetId="461">
        <row r="1">
          <cell r="A1" t="str">
            <v>DDO</v>
          </cell>
        </row>
      </sheetData>
      <sheetData sheetId="462"/>
      <sheetData sheetId="463"/>
      <sheetData sheetId="464"/>
      <sheetData sheetId="465"/>
      <sheetData sheetId="466">
        <row r="43">
          <cell r="I43">
            <v>7671.63924555358</v>
          </cell>
        </row>
      </sheetData>
      <sheetData sheetId="467" refreshError="1"/>
      <sheetData sheetId="468" refreshError="1"/>
      <sheetData sheetId="469" refreshError="1"/>
      <sheetData sheetId="470" refreshError="1"/>
      <sheetData sheetId="471" refreshError="1"/>
      <sheetData sheetId="472"/>
      <sheetData sheetId="473" refreshError="1"/>
      <sheetData sheetId="474" refreshError="1"/>
      <sheetData sheetId="475" refreshError="1"/>
      <sheetData sheetId="476"/>
      <sheetData sheetId="477">
        <row r="4">
          <cell r="A4" t="str">
            <v>100004</v>
          </cell>
        </row>
      </sheetData>
      <sheetData sheetId="478">
        <row r="3">
          <cell r="S3">
            <v>-6.84</v>
          </cell>
        </row>
      </sheetData>
      <sheetData sheetId="479" refreshError="1"/>
      <sheetData sheetId="480" refreshError="1"/>
      <sheetData sheetId="481">
        <row r="1">
          <cell r="A1" t="str">
            <v>AFE #</v>
          </cell>
        </row>
      </sheetData>
      <sheetData sheetId="482"/>
      <sheetData sheetId="483">
        <row r="1">
          <cell r="A1" t="str">
            <v>Canceled - Expense bill 100% to APC Entity</v>
          </cell>
        </row>
      </sheetData>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row r="2">
          <cell r="A2" t="str">
            <v>00007</v>
          </cell>
        </row>
      </sheetData>
      <sheetData sheetId="522" refreshError="1"/>
      <sheetData sheetId="523"/>
      <sheetData sheetId="524">
        <row r="3">
          <cell r="B3" t="str">
            <v>00007</v>
          </cell>
        </row>
      </sheetData>
      <sheetData sheetId="525">
        <row r="3">
          <cell r="B3" t="str">
            <v>19274</v>
          </cell>
        </row>
      </sheetData>
      <sheetData sheetId="526">
        <row r="3">
          <cell r="B3" t="str">
            <v>18873</v>
          </cell>
        </row>
      </sheetData>
      <sheetData sheetId="527">
        <row r="2">
          <cell r="A2" t="str">
            <v>04336</v>
          </cell>
        </row>
      </sheetData>
      <sheetData sheetId="528" refreshError="1"/>
      <sheetData sheetId="529" refreshError="1"/>
      <sheetData sheetId="530" refreshError="1"/>
      <sheetData sheetId="531"/>
      <sheetData sheetId="532"/>
      <sheetData sheetId="533"/>
      <sheetData sheetId="534">
        <row r="1">
          <cell r="B1" t="str">
            <v>Agreement Number</v>
          </cell>
        </row>
      </sheetData>
      <sheetData sheetId="535"/>
      <sheetData sheetId="536"/>
      <sheetData sheetId="537"/>
      <sheetData sheetId="538"/>
      <sheetData sheetId="539">
        <row r="1">
          <cell r="A1" t="str">
            <v>Depth Rank</v>
          </cell>
        </row>
      </sheetData>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row r="2">
          <cell r="A2">
            <v>1282226000</v>
          </cell>
        </row>
      </sheetData>
      <sheetData sheetId="557"/>
      <sheetData sheetId="558"/>
      <sheetData sheetId="55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_com.sap.ip.bi.xl.hiddensheet"/>
      <sheetName val="Notes"/>
      <sheetName val="Inputs"/>
      <sheetName val="Outperformance Slide"/>
      <sheetName val="NEET-Cons"/>
      <sheetName val="OpxCapx"/>
      <sheetName val="NEET-Cons-EG"/>
      <sheetName val="IS"/>
      <sheetName val="Capitalization"/>
      <sheetName val="New BS"/>
      <sheetName val="Rate Base BOBJ"/>
      <sheetName val="Cap Structure + CWIP"/>
      <sheetName val="Appendix"/>
      <sheetName val="TBC"/>
      <sheetName val="LST"/>
      <sheetName val="NHT"/>
      <sheetName val="GL"/>
      <sheetName val="HWT"/>
      <sheetName val="NY"/>
      <sheetName val="NBI"/>
      <sheetName val="PB"/>
      <sheetName val="HHGT"/>
      <sheetName val="NEET"/>
      <sheetName val="NEET - (WORKING)"/>
      <sheetName val="MA"/>
      <sheetName val="Forecast"/>
      <sheetName val="One-Offs"/>
      <sheetName val="BPC-BS"/>
      <sheetName val="GL BPC-IS"/>
      <sheetName val="Draft Mapping"/>
      <sheetName val="BPC-IS"/>
      <sheetName val="BPC-No WBS"/>
      <sheetName val="BPC-NEET Others"/>
      <sheetName val="BPC-HoldCo Int"/>
      <sheetName val="BPC-ECC"/>
      <sheetName val="BPC-HHGT"/>
      <sheetName val="BPC-NBI"/>
      <sheetName val="BPC-Forecast"/>
    </sheetNames>
    <sheetDataSet>
      <sheetData sheetId="0"/>
      <sheetData sheetId="1"/>
      <sheetData sheetId="2">
        <row r="4">
          <cell r="D4">
            <v>44621</v>
          </cell>
        </row>
        <row r="5">
          <cell r="D5">
            <v>44562</v>
          </cell>
        </row>
        <row r="6">
          <cell r="D6">
            <v>44896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_com.sap.ip.bi.xl.hiddensheet"/>
      <sheetName val="MOPR"/>
      <sheetName val="Summary"/>
      <sheetName val="Actual"/>
      <sheetName val="VPCY"/>
      <sheetName val="Helper"/>
    </sheetNames>
    <sheetDataSet>
      <sheetData sheetId="0"/>
      <sheetData sheetId="1"/>
      <sheetData sheetId="2"/>
      <sheetData sheetId="3"/>
      <sheetData sheetId="4"/>
      <sheetData sheetId="5">
        <row r="4">
          <cell r="H4" t="str">
            <v>1250</v>
          </cell>
        </row>
        <row r="5">
          <cell r="H5" t="str">
            <v>1252</v>
          </cell>
        </row>
        <row r="6">
          <cell r="H6" t="str">
            <v>1253</v>
          </cell>
        </row>
        <row r="7">
          <cell r="H7" t="str">
            <v>1254</v>
          </cell>
        </row>
        <row r="8">
          <cell r="H8" t="str">
            <v>1255</v>
          </cell>
        </row>
        <row r="9">
          <cell r="H9" t="str">
            <v>1256</v>
          </cell>
        </row>
        <row r="10">
          <cell r="H10" t="str">
            <v>1258</v>
          </cell>
        </row>
        <row r="11">
          <cell r="H11" t="str">
            <v>1264</v>
          </cell>
        </row>
        <row r="12">
          <cell r="H12" t="str">
            <v>1276</v>
          </cell>
        </row>
        <row r="13">
          <cell r="H13" t="str">
            <v>1282</v>
          </cell>
        </row>
        <row r="14">
          <cell r="H14" t="str">
            <v>1283</v>
          </cell>
        </row>
        <row r="15">
          <cell r="H15" t="str">
            <v>1284</v>
          </cell>
        </row>
        <row r="16">
          <cell r="H16" t="str">
            <v>1287</v>
          </cell>
        </row>
        <row r="17">
          <cell r="H17" t="str">
            <v>1289</v>
          </cell>
        </row>
        <row r="18">
          <cell r="H18" t="str">
            <v>1291</v>
          </cell>
        </row>
        <row r="19">
          <cell r="H19" t="str">
            <v>1292</v>
          </cell>
        </row>
        <row r="20">
          <cell r="H20" t="str">
            <v>1293</v>
          </cell>
        </row>
        <row r="21">
          <cell r="H21" t="str">
            <v>1294</v>
          </cell>
        </row>
        <row r="22">
          <cell r="H22" t="str">
            <v>1295</v>
          </cell>
        </row>
        <row r="23">
          <cell r="H23" t="str">
            <v>1296</v>
          </cell>
        </row>
        <row r="24">
          <cell r="H24" t="str">
            <v>1297</v>
          </cell>
        </row>
        <row r="25">
          <cell r="H25" t="str">
            <v>1400</v>
          </cell>
        </row>
        <row r="26">
          <cell r="H26" t="str">
            <v>1401</v>
          </cell>
        </row>
        <row r="27">
          <cell r="H27" t="str">
            <v>1402</v>
          </cell>
        </row>
        <row r="28">
          <cell r="H28" t="str">
            <v>1403</v>
          </cell>
        </row>
        <row r="29">
          <cell r="H29" t="str">
            <v/>
          </cell>
        </row>
        <row r="30">
          <cell r="H30" t="str">
            <v/>
          </cell>
        </row>
        <row r="31">
          <cell r="H31" t="str">
            <v/>
          </cell>
        </row>
        <row r="32">
          <cell r="H32" t="str">
            <v/>
          </cell>
        </row>
        <row r="33">
          <cell r="H33" t="str">
            <v/>
          </cell>
        </row>
        <row r="34">
          <cell r="H34" t="str">
            <v/>
          </cell>
        </row>
        <row r="35">
          <cell r="H35" t="str">
            <v/>
          </cell>
        </row>
        <row r="36">
          <cell r="H36" t="str">
            <v/>
          </cell>
        </row>
        <row r="37">
          <cell r="H37" t="str">
            <v/>
          </cell>
        </row>
        <row r="38">
          <cell r="H38" t="str">
            <v/>
          </cell>
        </row>
        <row r="39">
          <cell r="H39" t="str">
            <v/>
          </cell>
        </row>
        <row r="40">
          <cell r="H40" t="str">
            <v/>
          </cell>
        </row>
        <row r="41">
          <cell r="H41" t="str">
            <v/>
          </cell>
        </row>
        <row r="42">
          <cell r="H42" t="str">
            <v/>
          </cell>
        </row>
        <row r="43">
          <cell r="H43" t="str">
            <v/>
          </cell>
        </row>
        <row r="44">
          <cell r="H44" t="str">
            <v/>
          </cell>
        </row>
        <row r="45">
          <cell r="H45" t="str">
            <v/>
          </cell>
        </row>
        <row r="46">
          <cell r="H46" t="str">
            <v/>
          </cell>
        </row>
        <row r="47">
          <cell r="H47" t="str">
            <v/>
          </cell>
        </row>
        <row r="48">
          <cell r="H48" t="str">
            <v/>
          </cell>
        </row>
        <row r="49">
          <cell r="H49" t="str">
            <v/>
          </cell>
        </row>
        <row r="50">
          <cell r="H50" t="str">
            <v/>
          </cell>
        </row>
        <row r="51">
          <cell r="H51" t="str">
            <v/>
          </cell>
        </row>
        <row r="52">
          <cell r="H52" t="str">
            <v/>
          </cell>
        </row>
        <row r="53">
          <cell r="H53" t="str">
            <v/>
          </cell>
        </row>
        <row r="54">
          <cell r="H54" t="str">
            <v/>
          </cell>
        </row>
        <row r="55">
          <cell r="H55" t="str">
            <v/>
          </cell>
        </row>
        <row r="56">
          <cell r="H56" t="str">
            <v/>
          </cell>
        </row>
        <row r="57">
          <cell r="H57" t="str">
            <v/>
          </cell>
        </row>
        <row r="58">
          <cell r="H58" t="str">
            <v/>
          </cell>
        </row>
        <row r="59">
          <cell r="H59" t="str">
            <v/>
          </cell>
        </row>
        <row r="60">
          <cell r="H60" t="str">
            <v/>
          </cell>
        </row>
        <row r="61">
          <cell r="H61" t="str">
            <v/>
          </cell>
        </row>
        <row r="62">
          <cell r="H62" t="str">
            <v/>
          </cell>
        </row>
        <row r="63">
          <cell r="H63" t="str">
            <v/>
          </cell>
        </row>
        <row r="64">
          <cell r="H64" t="str">
            <v/>
          </cell>
        </row>
        <row r="65">
          <cell r="H65" t="str">
            <v/>
          </cell>
        </row>
        <row r="66">
          <cell r="H66" t="str">
            <v/>
          </cell>
        </row>
        <row r="67">
          <cell r="H67" t="str">
            <v/>
          </cell>
        </row>
        <row r="68">
          <cell r="H68" t="str">
            <v/>
          </cell>
        </row>
        <row r="69">
          <cell r="H69" t="str">
            <v/>
          </cell>
        </row>
        <row r="70">
          <cell r="H70" t="str">
            <v/>
          </cell>
        </row>
        <row r="71">
          <cell r="H71" t="str">
            <v/>
          </cell>
        </row>
        <row r="72">
          <cell r="H72" t="str">
            <v/>
          </cell>
        </row>
        <row r="73">
          <cell r="H73" t="str">
            <v/>
          </cell>
        </row>
        <row r="74">
          <cell r="H74" t="str">
            <v/>
          </cell>
        </row>
        <row r="75">
          <cell r="H75" t="str">
            <v/>
          </cell>
        </row>
        <row r="76">
          <cell r="H76" t="str">
            <v/>
          </cell>
        </row>
        <row r="77">
          <cell r="H77" t="str">
            <v/>
          </cell>
        </row>
        <row r="78">
          <cell r="H78" t="str">
            <v/>
          </cell>
        </row>
        <row r="79">
          <cell r="H79" t="str">
            <v/>
          </cell>
        </row>
        <row r="80">
          <cell r="H80" t="str">
            <v/>
          </cell>
        </row>
        <row r="81">
          <cell r="H81" t="str">
            <v/>
          </cell>
        </row>
        <row r="82">
          <cell r="H82" t="str">
            <v/>
          </cell>
        </row>
        <row r="83">
          <cell r="H83" t="str">
            <v/>
          </cell>
        </row>
        <row r="84">
          <cell r="H84" t="str">
            <v/>
          </cell>
        </row>
        <row r="85">
          <cell r="H85" t="str">
            <v/>
          </cell>
        </row>
        <row r="86">
          <cell r="H86" t="str">
            <v/>
          </cell>
        </row>
        <row r="87">
          <cell r="H87" t="str">
            <v/>
          </cell>
        </row>
        <row r="88">
          <cell r="H88" t="str">
            <v/>
          </cell>
        </row>
        <row r="89">
          <cell r="H89" t="str">
            <v/>
          </cell>
        </row>
        <row r="90">
          <cell r="H90" t="str">
            <v/>
          </cell>
        </row>
        <row r="91">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row r="111">
          <cell r="H111" t="str">
            <v/>
          </cell>
        </row>
        <row r="112">
          <cell r="H112" t="str">
            <v/>
          </cell>
        </row>
        <row r="113">
          <cell r="H113" t="str">
            <v/>
          </cell>
        </row>
        <row r="114">
          <cell r="H114" t="str">
            <v/>
          </cell>
        </row>
        <row r="115">
          <cell r="H115" t="str">
            <v/>
          </cell>
        </row>
        <row r="116">
          <cell r="H116" t="str">
            <v/>
          </cell>
        </row>
        <row r="117">
          <cell r="H117" t="str">
            <v/>
          </cell>
        </row>
        <row r="118">
          <cell r="H118" t="str">
            <v/>
          </cell>
        </row>
        <row r="119">
          <cell r="H119" t="str">
            <v/>
          </cell>
        </row>
        <row r="120">
          <cell r="H120" t="str">
            <v/>
          </cell>
        </row>
        <row r="121">
          <cell r="H121" t="str">
            <v/>
          </cell>
        </row>
        <row r="122">
          <cell r="H122" t="str">
            <v/>
          </cell>
        </row>
        <row r="123">
          <cell r="H123" t="str">
            <v/>
          </cell>
        </row>
        <row r="124">
          <cell r="H124" t="str">
            <v/>
          </cell>
        </row>
        <row r="125">
          <cell r="H125" t="str">
            <v/>
          </cell>
        </row>
        <row r="126">
          <cell r="H126" t="str">
            <v/>
          </cell>
        </row>
        <row r="127">
          <cell r="H127" t="str">
            <v/>
          </cell>
        </row>
        <row r="128">
          <cell r="H128" t="str">
            <v/>
          </cell>
        </row>
        <row r="129">
          <cell r="H129" t="str">
            <v/>
          </cell>
        </row>
        <row r="130">
          <cell r="H130" t="str">
            <v/>
          </cell>
        </row>
        <row r="131">
          <cell r="H131" t="str">
            <v/>
          </cell>
        </row>
        <row r="132">
          <cell r="H132" t="str">
            <v/>
          </cell>
        </row>
        <row r="133">
          <cell r="H133" t="str">
            <v/>
          </cell>
        </row>
        <row r="134">
          <cell r="H134" t="str">
            <v/>
          </cell>
        </row>
        <row r="135">
          <cell r="H135" t="str">
            <v/>
          </cell>
        </row>
        <row r="136">
          <cell r="H136" t="str">
            <v/>
          </cell>
        </row>
        <row r="137">
          <cell r="H137" t="str">
            <v/>
          </cell>
        </row>
        <row r="138">
          <cell r="H138" t="str">
            <v/>
          </cell>
        </row>
        <row r="139">
          <cell r="H139" t="str">
            <v/>
          </cell>
        </row>
        <row r="140">
          <cell r="H140" t="str">
            <v/>
          </cell>
        </row>
        <row r="141">
          <cell r="H141" t="str">
            <v/>
          </cell>
        </row>
        <row r="142">
          <cell r="H142" t="str">
            <v/>
          </cell>
        </row>
        <row r="143">
          <cell r="H143" t="str">
            <v/>
          </cell>
        </row>
        <row r="144">
          <cell r="H144" t="str">
            <v/>
          </cell>
        </row>
        <row r="145">
          <cell r="H145" t="str">
            <v/>
          </cell>
        </row>
        <row r="146">
          <cell r="H146" t="str">
            <v/>
          </cell>
        </row>
        <row r="147">
          <cell r="H147" t="str">
            <v/>
          </cell>
        </row>
        <row r="148">
          <cell r="H148" t="str">
            <v/>
          </cell>
        </row>
        <row r="149">
          <cell r="H149" t="str">
            <v/>
          </cell>
        </row>
        <row r="150">
          <cell r="H150" t="str">
            <v/>
          </cell>
        </row>
        <row r="151">
          <cell r="H151" t="str">
            <v/>
          </cell>
        </row>
        <row r="152">
          <cell r="H152" t="str">
            <v/>
          </cell>
        </row>
        <row r="153">
          <cell r="H153" t="str">
            <v/>
          </cell>
        </row>
        <row r="154">
          <cell r="H154" t="str">
            <v/>
          </cell>
        </row>
        <row r="155">
          <cell r="H155" t="str">
            <v/>
          </cell>
        </row>
        <row r="156">
          <cell r="H156" t="str">
            <v/>
          </cell>
        </row>
        <row r="157">
          <cell r="H157"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4"/>
  <sheetViews>
    <sheetView tabSelected="1" zoomScale="85" zoomScaleNormal="85" zoomScaleSheetLayoutView="70" workbookViewId="0" topLeftCell="A1"/>
  </sheetViews>
  <sheetFormatPr defaultColWidth="8.81555555555556" defaultRowHeight="13.5"/>
  <cols>
    <col min="1" max="1" width="5.77777777777778" style="15" customWidth="1"/>
    <col min="2" max="2" width="56" style="15" customWidth="1"/>
    <col min="3" max="3" width="47.4444444444444" style="15" bestFit="1" customWidth="1"/>
    <col min="4" max="4" width="16.2222222222222" style="15" customWidth="1"/>
    <col min="5" max="5" width="5.77777777777778" style="15" customWidth="1"/>
    <col min="6" max="6" width="7.22222222222222" style="15" customWidth="1"/>
    <col min="7" max="7" width="16.7777777777778" style="15" customWidth="1"/>
    <col min="8" max="8" width="4.77777777777778" style="15" customWidth="1"/>
    <col min="9" max="9" width="16.2222222222222" style="15" customWidth="1"/>
    <col min="10" max="10" width="2.77777777777778" style="15" customWidth="1"/>
    <col min="11" max="11" width="11.4444444444444" style="15" customWidth="1"/>
    <col min="12" max="12" width="14.4444444444444" style="15" bestFit="1" customWidth="1"/>
    <col min="13" max="13" width="14.7777777777778" style="15" bestFit="1" customWidth="1"/>
    <col min="14" max="16384" width="8.77777777777778" style="15"/>
  </cols>
  <sheetData>
    <row r="1" spans="1:11" ht="13.2">
      <c r="A1" s="141"/>
      <c r="B1" s="141"/>
      <c r="C1" s="141"/>
      <c r="D1" s="141"/>
      <c r="E1" s="141"/>
      <c r="F1" s="141"/>
      <c r="G1" s="141"/>
      <c r="H1" s="141"/>
      <c r="I1" s="141"/>
      <c r="J1" s="141"/>
      <c r="K1" s="142" t="s">
        <v>124</v>
      </c>
    </row>
    <row r="2" spans="1:11" ht="13.2">
      <c r="A2" s="141"/>
      <c r="B2" s="141" t="s">
        <v>447</v>
      </c>
      <c r="C2" s="141"/>
      <c r="D2" s="141"/>
      <c r="E2" s="141"/>
      <c r="F2" s="141"/>
      <c r="G2" s="141"/>
      <c r="H2" s="141"/>
      <c r="I2" s="141"/>
      <c r="J2" s="141"/>
      <c r="K2" s="141"/>
    </row>
    <row r="3" spans="1:11" ht="13.2">
      <c r="A3" s="36"/>
      <c r="B3" s="28" t="s">
        <v>7</v>
      </c>
      <c r="C3" s="674" t="s">
        <v>842</v>
      </c>
      <c r="D3" s="143" t="s">
        <v>89</v>
      </c>
      <c r="E3" s="28"/>
      <c r="F3" s="28"/>
      <c r="G3" s="144"/>
      <c r="H3" s="145"/>
      <c r="I3" s="146"/>
      <c r="J3" s="147"/>
      <c r="K3" s="21" t="s">
        <v>846</v>
      </c>
    </row>
    <row r="4" spans="1:11" ht="13.2">
      <c r="A4" s="36"/>
      <c r="C4" s="29"/>
      <c r="D4" s="32" t="s">
        <v>118</v>
      </c>
      <c r="E4" s="29"/>
      <c r="F4" s="29"/>
      <c r="G4" s="29"/>
      <c r="H4" s="148"/>
      <c r="I4" s="148"/>
      <c r="J4" s="149"/>
      <c r="K4" s="149"/>
    </row>
    <row r="5" spans="1:11" ht="15.6">
      <c r="A5" s="36"/>
      <c r="B5" s="150"/>
      <c r="C5" s="149"/>
      <c r="D5" s="637" t="s">
        <v>843</v>
      </c>
      <c r="E5" s="149"/>
      <c r="F5" s="149"/>
      <c r="G5" s="149"/>
      <c r="H5" s="149"/>
      <c r="I5" s="149"/>
      <c r="J5" s="149"/>
      <c r="K5" s="149"/>
    </row>
    <row r="6" spans="2:11" ht="13.8">
      <c r="B6" s="150"/>
      <c r="J6" s="151"/>
      <c r="K6" s="151"/>
    </row>
    <row r="7" spans="1:11" ht="13.2">
      <c r="A7" s="143"/>
      <c r="C7" s="149"/>
      <c r="D7" s="152"/>
      <c r="E7" s="149"/>
      <c r="F7" s="149"/>
      <c r="G7" s="149"/>
      <c r="H7" s="149"/>
      <c r="I7" s="149"/>
      <c r="J7" s="149"/>
      <c r="K7" s="149"/>
    </row>
    <row r="8" spans="1:11" ht="13.2">
      <c r="A8" s="143"/>
      <c r="B8" s="153" t="s">
        <v>9</v>
      </c>
      <c r="C8" s="153" t="s">
        <v>10</v>
      </c>
      <c r="D8" s="153" t="s">
        <v>11</v>
      </c>
      <c r="E8" s="29" t="s">
        <v>8</v>
      </c>
      <c r="F8" s="29"/>
      <c r="G8" s="152" t="s">
        <v>12</v>
      </c>
      <c r="H8" s="29"/>
      <c r="I8" s="152" t="s">
        <v>13</v>
      </c>
      <c r="J8" s="149"/>
      <c r="K8" s="149"/>
    </row>
    <row r="9" spans="1:11" ht="13.2">
      <c r="A9" s="143" t="s">
        <v>14</v>
      </c>
      <c r="B9" s="149"/>
      <c r="C9" s="149"/>
      <c r="D9" s="154"/>
      <c r="E9" s="149"/>
      <c r="F9" s="149"/>
      <c r="G9" s="149"/>
      <c r="H9" s="149"/>
      <c r="I9" s="143" t="s">
        <v>15</v>
      </c>
      <c r="J9" s="149"/>
      <c r="K9" s="149"/>
    </row>
    <row r="10" spans="1:11" ht="13.8" thickBot="1">
      <c r="A10" s="33" t="s">
        <v>16</v>
      </c>
      <c r="B10" s="149"/>
      <c r="C10" s="149"/>
      <c r="D10" s="149"/>
      <c r="E10" s="149"/>
      <c r="F10" s="149"/>
      <c r="G10" s="149"/>
      <c r="H10" s="149"/>
      <c r="I10" s="33" t="s">
        <v>17</v>
      </c>
      <c r="J10" s="149"/>
      <c r="K10" s="149"/>
    </row>
    <row r="11" spans="1:11" ht="13.2">
      <c r="A11" s="143">
        <v>1</v>
      </c>
      <c r="B11" s="149" t="s">
        <v>267</v>
      </c>
      <c r="C11" s="149" t="s">
        <v>266</v>
      </c>
      <c r="D11" s="155"/>
      <c r="E11" s="149"/>
      <c r="F11" s="149"/>
      <c r="G11" s="149"/>
      <c r="H11" s="149"/>
      <c r="I11" s="156">
        <f>+I172</f>
        <v>428821.87432084989</v>
      </c>
      <c r="J11" s="149"/>
      <c r="K11" s="157"/>
    </row>
    <row r="12" spans="1:11" ht="13.2">
      <c r="A12" s="143"/>
      <c r="B12" s="149"/>
      <c r="C12" s="149"/>
      <c r="D12" s="149"/>
      <c r="E12" s="149"/>
      <c r="F12" s="149"/>
      <c r="G12" s="149"/>
      <c r="H12" s="149"/>
      <c r="I12" s="155"/>
      <c r="J12" s="149"/>
      <c r="K12" s="149"/>
    </row>
    <row r="13" spans="1:11" ht="13.8" thickBot="1">
      <c r="A13" s="143" t="s">
        <v>8</v>
      </c>
      <c r="B13" s="31" t="s">
        <v>18</v>
      </c>
      <c r="C13" s="37" t="s">
        <v>268</v>
      </c>
      <c r="D13" s="33" t="s">
        <v>19</v>
      </c>
      <c r="E13" s="29"/>
      <c r="F13" s="158" t="s">
        <v>20</v>
      </c>
      <c r="G13" s="158"/>
      <c r="H13" s="149"/>
      <c r="I13" s="155"/>
      <c r="J13" s="149"/>
      <c r="K13" s="149"/>
    </row>
    <row r="14" spans="1:11" ht="13.2">
      <c r="A14" s="143">
        <f>+A11+1</f>
        <v>2</v>
      </c>
      <c r="B14" s="31" t="s">
        <v>125</v>
      </c>
      <c r="C14" s="37" t="str">
        <f>"(page 4, line "&amp;A222&amp;")"</f>
        <v>(page 4, line 29)</v>
      </c>
      <c r="D14" s="159">
        <f>I222</f>
        <v>0</v>
      </c>
      <c r="E14" s="29"/>
      <c r="F14" s="29" t="s">
        <v>21</v>
      </c>
      <c r="G14" s="27">
        <f>I191</f>
        <v>1</v>
      </c>
      <c r="H14" s="44"/>
      <c r="I14" s="27">
        <f>+G14*D14</f>
        <v>0</v>
      </c>
      <c r="J14" s="149"/>
      <c r="K14" s="149"/>
    </row>
    <row r="15" spans="1:11" ht="13.2">
      <c r="A15" s="143">
        <f>+A14+1</f>
        <v>3</v>
      </c>
      <c r="B15" s="31" t="s">
        <v>126</v>
      </c>
      <c r="C15" s="37" t="str">
        <f>"(page 4, line "&amp;A227&amp;")"</f>
        <v>(page 4, line 33)</v>
      </c>
      <c r="D15" s="159">
        <f>I227</f>
        <v>0</v>
      </c>
      <c r="E15" s="29"/>
      <c r="F15" s="29" t="s">
        <v>21</v>
      </c>
      <c r="G15" s="27">
        <f>+G14</f>
        <v>1</v>
      </c>
      <c r="H15" s="44"/>
      <c r="I15" s="27">
        <f>+G15*D15</f>
        <v>0</v>
      </c>
      <c r="J15" s="149"/>
      <c r="K15" s="149"/>
    </row>
    <row r="16" spans="1:11" ht="13.2">
      <c r="A16" s="143">
        <f>+A15+1</f>
        <v>4</v>
      </c>
      <c r="B16" s="31" t="s">
        <v>223</v>
      </c>
      <c r="C16" s="37" t="s">
        <v>804</v>
      </c>
      <c r="D16" s="159">
        <f>+'5-P3 Support'!G67</f>
        <v>0</v>
      </c>
      <c r="E16" s="29"/>
      <c r="F16" s="29" t="s">
        <v>21</v>
      </c>
      <c r="G16" s="27">
        <f>+G15</f>
        <v>1</v>
      </c>
      <c r="H16" s="44"/>
      <c r="I16" s="27">
        <f>+D16*G16</f>
        <v>0</v>
      </c>
      <c r="J16" s="149"/>
      <c r="K16" s="149"/>
    </row>
    <row r="17" spans="1:11" ht="13.2">
      <c r="A17" s="143">
        <f>+A16+1</f>
        <v>5</v>
      </c>
      <c r="B17" s="160" t="s">
        <v>366</v>
      </c>
      <c r="C17" s="161" t="s">
        <v>262</v>
      </c>
      <c r="D17" s="214">
        <v>0</v>
      </c>
      <c r="E17" s="29"/>
      <c r="F17" s="29" t="s">
        <v>21</v>
      </c>
      <c r="G17" s="27">
        <f>+G15</f>
        <v>1</v>
      </c>
      <c r="H17" s="44"/>
      <c r="I17" s="27">
        <f>+G17*D17</f>
        <v>0</v>
      </c>
      <c r="J17" s="149"/>
      <c r="K17" s="149"/>
    </row>
    <row r="18" spans="1:11" ht="13.8" thickBot="1">
      <c r="A18" s="143">
        <f>+A17+1</f>
        <v>6</v>
      </c>
      <c r="B18" s="160" t="s">
        <v>127</v>
      </c>
      <c r="C18" s="161"/>
      <c r="D18" s="214">
        <v>0</v>
      </c>
      <c r="E18" s="29"/>
      <c r="F18" s="29" t="s">
        <v>21</v>
      </c>
      <c r="G18" s="27">
        <f>+G17</f>
        <v>1</v>
      </c>
      <c r="H18" s="44"/>
      <c r="I18" s="47">
        <f>+G18*D18</f>
        <v>0</v>
      </c>
      <c r="J18" s="149"/>
      <c r="K18" s="149"/>
    </row>
    <row r="19" spans="1:11" ht="13.2">
      <c r="A19" s="143">
        <f>+A18+1</f>
        <v>7</v>
      </c>
      <c r="B19" s="31" t="s">
        <v>287</v>
      </c>
      <c r="C19" s="149" t="s">
        <v>286</v>
      </c>
      <c r="D19" s="393">
        <f>SUM(D14:D18)</f>
        <v>0</v>
      </c>
      <c r="E19" s="29"/>
      <c r="F19" s="29"/>
      <c r="G19" s="45"/>
      <c r="H19" s="44"/>
      <c r="I19" s="27">
        <f>SUM(I14:I18)</f>
        <v>0</v>
      </c>
      <c r="J19" s="149"/>
      <c r="K19" s="149"/>
    </row>
    <row r="20" spans="1:11" ht="13.2">
      <c r="A20" s="143"/>
      <c r="B20" s="36"/>
      <c r="C20" s="149"/>
      <c r="D20" s="29" t="s">
        <v>8</v>
      </c>
      <c r="E20" s="149"/>
      <c r="F20" s="149"/>
      <c r="G20" s="163"/>
      <c r="H20" s="149"/>
      <c r="I20" s="36"/>
      <c r="J20" s="149"/>
      <c r="K20" s="149"/>
    </row>
    <row r="21" spans="1:13" ht="13.8" thickBot="1">
      <c r="A21" s="143">
        <f>+A19+1</f>
        <v>8</v>
      </c>
      <c r="B21" s="31" t="s">
        <v>22</v>
      </c>
      <c r="C21" s="149" t="s">
        <v>269</v>
      </c>
      <c r="D21" s="162" t="s">
        <v>8</v>
      </c>
      <c r="E21" s="29"/>
      <c r="F21" s="29"/>
      <c r="G21" s="29"/>
      <c r="H21" s="29"/>
      <c r="I21" s="164">
        <f>I11-I19</f>
        <v>428821.87432084989</v>
      </c>
      <c r="J21" s="149"/>
      <c r="K21" s="149"/>
      <c r="M21" s="165"/>
    </row>
    <row r="22" spans="1:13" ht="13.8" thickTop="1">
      <c r="A22" s="143"/>
      <c r="B22" s="36"/>
      <c r="C22" s="149"/>
      <c r="D22" s="162"/>
      <c r="E22" s="29"/>
      <c r="F22" s="29"/>
      <c r="G22" s="29"/>
      <c r="H22" s="29"/>
      <c r="I22" s="36"/>
      <c r="J22" s="149"/>
      <c r="K22" s="149"/>
      <c r="M22" s="166"/>
    </row>
    <row r="23" spans="1:11" ht="13.2">
      <c r="A23" s="167">
        <f>+A21+1</f>
        <v>9</v>
      </c>
      <c r="B23" s="168" t="s">
        <v>119</v>
      </c>
      <c r="C23" s="493" t="s">
        <v>803</v>
      </c>
      <c r="D23" s="159">
        <f>'3-Project True-up'!K39</f>
        <v>-106606.22595218122</v>
      </c>
      <c r="E23" s="169"/>
      <c r="F23" s="170" t="s">
        <v>93</v>
      </c>
      <c r="G23" s="171">
        <v>1</v>
      </c>
      <c r="H23" s="169"/>
      <c r="I23" s="18">
        <f>+G23*D23</f>
        <v>-106606.22595218122</v>
      </c>
      <c r="K23" s="172"/>
    </row>
    <row r="24" spans="1:11" ht="13.2">
      <c r="A24" s="167"/>
      <c r="B24" s="168"/>
      <c r="C24" s="169"/>
      <c r="D24" s="173"/>
      <c r="E24" s="173"/>
      <c r="F24" s="173"/>
      <c r="G24" s="173"/>
      <c r="H24" s="173"/>
      <c r="I24" s="174"/>
      <c r="K24" s="172"/>
    </row>
    <row r="25" spans="1:11" ht="13.8" thickBot="1">
      <c r="A25" s="167">
        <f>+A23+1</f>
        <v>10</v>
      </c>
      <c r="B25" s="168" t="s">
        <v>22</v>
      </c>
      <c r="C25" s="169" t="s">
        <v>270</v>
      </c>
      <c r="D25" s="173"/>
      <c r="E25" s="174"/>
      <c r="F25" s="174"/>
      <c r="G25" s="174"/>
      <c r="H25" s="174"/>
      <c r="I25" s="175">
        <f>+I21+I23</f>
        <v>322215.64836866868</v>
      </c>
      <c r="K25" s="172"/>
    </row>
    <row r="26" spans="1:11" ht="13.8" thickTop="1">
      <c r="A26" s="176"/>
      <c r="B26" s="160"/>
      <c r="C26" s="172"/>
      <c r="D26" s="172"/>
      <c r="E26" s="172"/>
      <c r="F26" s="177"/>
      <c r="G26" s="178"/>
      <c r="H26" s="172"/>
      <c r="I26" s="160"/>
      <c r="J26" s="172"/>
      <c r="K26" s="172"/>
    </row>
    <row r="27" spans="1:11" ht="13.2">
      <c r="A27" s="176"/>
      <c r="B27" s="179"/>
      <c r="C27" s="172"/>
      <c r="D27" s="172"/>
      <c r="E27" s="172"/>
      <c r="F27" s="177"/>
      <c r="G27" s="178"/>
      <c r="H27" s="172"/>
      <c r="I27" s="160"/>
      <c r="J27" s="172"/>
      <c r="K27" s="172"/>
    </row>
    <row r="28" spans="1:11" ht="13.2">
      <c r="A28" s="176"/>
      <c r="B28" s="160"/>
      <c r="C28" s="172"/>
      <c r="D28" s="172"/>
      <c r="E28" s="172"/>
      <c r="F28" s="172"/>
      <c r="G28" s="178"/>
      <c r="H28" s="172"/>
      <c r="I28" s="160"/>
      <c r="J28" s="172"/>
      <c r="K28" s="172"/>
    </row>
    <row r="29" spans="1:11" ht="13.2">
      <c r="A29" s="176"/>
      <c r="B29" s="160"/>
      <c r="C29" s="172"/>
      <c r="D29" s="172"/>
      <c r="E29" s="172"/>
      <c r="F29" s="172"/>
      <c r="G29" s="178"/>
      <c r="H29" s="172"/>
      <c r="I29" s="160"/>
      <c r="J29" s="172"/>
      <c r="K29" s="172"/>
    </row>
    <row r="30" spans="1:11" ht="13.2">
      <c r="A30" s="176"/>
      <c r="B30" s="160"/>
      <c r="C30" s="172"/>
      <c r="D30" s="172"/>
      <c r="E30" s="172"/>
      <c r="F30" s="172"/>
      <c r="G30" s="178"/>
      <c r="H30" s="172"/>
      <c r="I30" s="160"/>
      <c r="J30" s="172"/>
      <c r="K30" s="172"/>
    </row>
    <row r="31" spans="1:11" ht="13.2">
      <c r="A31" s="176"/>
      <c r="B31" s="180"/>
      <c r="C31" s="172"/>
      <c r="D31" s="172"/>
      <c r="E31" s="172"/>
      <c r="F31" s="172"/>
      <c r="G31" s="172"/>
      <c r="H31" s="172"/>
      <c r="I31" s="160"/>
      <c r="J31" s="172"/>
      <c r="K31" s="172"/>
    </row>
    <row r="32" spans="1:11" ht="13.2">
      <c r="A32" s="176"/>
      <c r="B32" s="179"/>
      <c r="C32" s="172"/>
      <c r="D32" s="172"/>
      <c r="E32" s="172"/>
      <c r="F32" s="172"/>
      <c r="G32" s="172"/>
      <c r="H32" s="172"/>
      <c r="I32" s="160"/>
      <c r="J32" s="172"/>
      <c r="K32" s="172"/>
    </row>
    <row r="33" spans="1:11" ht="13.2">
      <c r="A33" s="176"/>
      <c r="B33" s="179"/>
      <c r="C33" s="172"/>
      <c r="D33" s="181"/>
      <c r="E33" s="172"/>
      <c r="F33" s="172"/>
      <c r="G33" s="172"/>
      <c r="H33" s="172"/>
      <c r="I33" s="177"/>
      <c r="J33" s="172"/>
      <c r="K33" s="172"/>
    </row>
    <row r="34" spans="1:11" ht="13.2">
      <c r="A34" s="176"/>
      <c r="B34" s="179"/>
      <c r="C34" s="172"/>
      <c r="D34" s="181"/>
      <c r="E34" s="172"/>
      <c r="F34" s="172"/>
      <c r="G34" s="172"/>
      <c r="H34" s="172"/>
      <c r="I34" s="177"/>
      <c r="J34" s="172"/>
      <c r="K34" s="172"/>
    </row>
    <row r="35" spans="1:11" ht="13.2">
      <c r="A35" s="176"/>
      <c r="B35" s="179"/>
      <c r="C35" s="172"/>
      <c r="D35" s="182"/>
      <c r="E35" s="172"/>
      <c r="F35" s="172"/>
      <c r="G35" s="172"/>
      <c r="H35" s="172"/>
      <c r="I35" s="177"/>
      <c r="J35" s="172"/>
      <c r="K35" s="172"/>
    </row>
    <row r="36" spans="1:11" ht="13.2">
      <c r="A36" s="176"/>
      <c r="B36" s="179"/>
      <c r="C36" s="172"/>
      <c r="D36" s="183"/>
      <c r="E36" s="172"/>
      <c r="F36" s="172"/>
      <c r="G36" s="172"/>
      <c r="H36" s="172"/>
      <c r="I36" s="184"/>
      <c r="J36" s="172"/>
      <c r="K36" s="172"/>
    </row>
    <row r="37" spans="1:11" ht="13.2">
      <c r="A37" s="176"/>
      <c r="B37" s="179"/>
      <c r="C37" s="185"/>
      <c r="D37" s="181"/>
      <c r="E37" s="172"/>
      <c r="F37" s="172"/>
      <c r="G37" s="172"/>
      <c r="H37" s="172"/>
      <c r="I37" s="186"/>
      <c r="J37" s="172"/>
      <c r="K37" s="172"/>
    </row>
    <row r="38" spans="1:11" ht="13.2">
      <c r="A38" s="176"/>
      <c r="B38" s="179"/>
      <c r="C38" s="185"/>
      <c r="D38" s="181"/>
      <c r="E38" s="172"/>
      <c r="F38" s="177"/>
      <c r="G38" s="172"/>
      <c r="H38" s="172"/>
      <c r="I38" s="186"/>
      <c r="J38" s="172"/>
      <c r="K38" s="172"/>
    </row>
    <row r="39" spans="1:11" ht="13.2">
      <c r="A39" s="176"/>
      <c r="B39" s="179"/>
      <c r="C39" s="185"/>
      <c r="D39" s="181"/>
      <c r="E39" s="172"/>
      <c r="F39" s="177"/>
      <c r="G39" s="172"/>
      <c r="H39" s="172"/>
      <c r="I39" s="186"/>
      <c r="J39" s="172"/>
      <c r="K39" s="172"/>
    </row>
    <row r="40" spans="1:11" ht="13.2">
      <c r="A40" s="176"/>
      <c r="B40" s="179"/>
      <c r="C40" s="172"/>
      <c r="D40" s="172"/>
      <c r="E40" s="172"/>
      <c r="F40" s="177"/>
      <c r="G40" s="172"/>
      <c r="H40" s="172"/>
      <c r="I40" s="177"/>
      <c r="J40" s="172"/>
      <c r="K40" s="172"/>
    </row>
    <row r="41" spans="1:11" ht="13.2">
      <c r="A41" s="176"/>
      <c r="B41" s="179"/>
      <c r="C41" s="172"/>
      <c r="D41" s="172"/>
      <c r="E41" s="172"/>
      <c r="F41" s="177"/>
      <c r="G41" s="172"/>
      <c r="H41" s="172"/>
      <c r="I41" s="177"/>
      <c r="J41" s="172"/>
      <c r="K41" s="172"/>
    </row>
    <row r="42" spans="1:11" ht="13.2">
      <c r="A42" s="176"/>
      <c r="B42" s="179"/>
      <c r="C42" s="172"/>
      <c r="D42" s="187"/>
      <c r="E42" s="187"/>
      <c r="F42" s="187"/>
      <c r="G42" s="187"/>
      <c r="H42" s="187"/>
      <c r="I42" s="187"/>
      <c r="J42" s="187"/>
      <c r="K42" s="172"/>
    </row>
    <row r="43" spans="1:11" ht="13.2">
      <c r="A43" s="176"/>
      <c r="B43" s="179"/>
      <c r="C43" s="172"/>
      <c r="D43" s="187"/>
      <c r="E43" s="187"/>
      <c r="F43" s="187"/>
      <c r="G43" s="187"/>
      <c r="H43" s="187"/>
      <c r="I43" s="187"/>
      <c r="J43" s="187"/>
      <c r="K43" s="172"/>
    </row>
    <row r="44" spans="1:11" ht="13.2">
      <c r="A44" s="176"/>
      <c r="B44" s="179"/>
      <c r="C44" s="172"/>
      <c r="D44" s="187"/>
      <c r="E44" s="187"/>
      <c r="F44" s="187"/>
      <c r="G44" s="187"/>
      <c r="H44" s="187"/>
      <c r="I44" s="187"/>
      <c r="J44" s="187"/>
      <c r="K44" s="172"/>
    </row>
    <row r="45" spans="1:11" ht="13.2">
      <c r="A45" s="176"/>
      <c r="B45" s="179"/>
      <c r="C45" s="172"/>
      <c r="D45" s="187"/>
      <c r="E45" s="187"/>
      <c r="F45" s="187"/>
      <c r="G45" s="187"/>
      <c r="H45" s="187"/>
      <c r="I45" s="187"/>
      <c r="J45" s="187"/>
      <c r="K45" s="172"/>
    </row>
    <row r="46" spans="1:11" ht="13.2">
      <c r="A46" s="143"/>
      <c r="B46" s="31"/>
      <c r="C46" s="149"/>
      <c r="D46" s="188"/>
      <c r="E46" s="189"/>
      <c r="F46" s="189"/>
      <c r="G46" s="189"/>
      <c r="H46" s="189"/>
      <c r="I46" s="189"/>
      <c r="J46" s="189"/>
      <c r="K46" s="149"/>
    </row>
    <row r="47" spans="1:11" ht="13.2">
      <c r="A47" s="143"/>
      <c r="B47" s="31"/>
      <c r="C47" s="149"/>
      <c r="D47" s="188"/>
      <c r="E47" s="189"/>
      <c r="F47" s="189"/>
      <c r="G47" s="189"/>
      <c r="H47" s="189"/>
      <c r="I47" s="189"/>
      <c r="J47" s="189"/>
      <c r="K47" s="149"/>
    </row>
    <row r="48" spans="1:11" ht="13.2">
      <c r="A48" s="143"/>
      <c r="B48" s="31"/>
      <c r="C48" s="149"/>
      <c r="D48" s="188"/>
      <c r="E48" s="189"/>
      <c r="F48" s="189"/>
      <c r="G48" s="189"/>
      <c r="H48" s="189"/>
      <c r="I48" s="189"/>
      <c r="J48" s="189"/>
      <c r="K48" s="149"/>
    </row>
    <row r="49" spans="1:11" ht="13.2">
      <c r="A49" s="143"/>
      <c r="B49" s="31"/>
      <c r="C49" s="149"/>
      <c r="D49" s="188"/>
      <c r="E49" s="189"/>
      <c r="F49" s="189"/>
      <c r="G49" s="189"/>
      <c r="H49" s="189"/>
      <c r="I49" s="189"/>
      <c r="J49" s="189"/>
      <c r="K49" s="149"/>
    </row>
    <row r="50" spans="1:11" ht="13.2">
      <c r="A50" s="143"/>
      <c r="B50" s="31"/>
      <c r="C50" s="149"/>
      <c r="D50" s="188"/>
      <c r="E50" s="189"/>
      <c r="F50" s="189"/>
      <c r="G50" s="189"/>
      <c r="H50" s="189"/>
      <c r="I50" s="189"/>
      <c r="J50" s="189"/>
      <c r="K50" s="149"/>
    </row>
    <row r="51" spans="1:11" ht="13.2">
      <c r="A51" s="143"/>
      <c r="B51" s="31"/>
      <c r="C51" s="149"/>
      <c r="D51" s="188"/>
      <c r="E51" s="189"/>
      <c r="F51" s="189"/>
      <c r="G51" s="189"/>
      <c r="H51" s="189"/>
      <c r="I51" s="189"/>
      <c r="J51" s="189"/>
      <c r="K51" s="149"/>
    </row>
    <row r="52" spans="1:11" ht="13.2">
      <c r="A52" s="36"/>
      <c r="B52" s="31"/>
      <c r="C52" s="149"/>
      <c r="D52" s="149"/>
      <c r="E52" s="149"/>
      <c r="F52" s="149"/>
      <c r="G52" s="149"/>
      <c r="H52" s="149"/>
      <c r="I52" s="190"/>
      <c r="J52" s="149"/>
      <c r="K52" s="191" t="s">
        <v>130</v>
      </c>
    </row>
    <row r="53" spans="1:11" ht="13.2">
      <c r="A53" s="36"/>
      <c r="B53" s="149"/>
      <c r="C53" s="149"/>
      <c r="D53" s="149"/>
      <c r="E53" s="149"/>
      <c r="F53" s="149"/>
      <c r="G53" s="149"/>
      <c r="H53" s="149"/>
      <c r="I53" s="149"/>
      <c r="J53" s="149"/>
      <c r="K53" s="149"/>
    </row>
    <row r="54" spans="1:11" ht="13.2">
      <c r="A54" s="36"/>
      <c r="B54" s="31" t="s">
        <v>7</v>
      </c>
      <c r="C54" s="31"/>
      <c r="D54" s="153" t="s">
        <v>89</v>
      </c>
      <c r="E54" s="31"/>
      <c r="F54" s="31"/>
      <c r="G54" s="31"/>
      <c r="H54" s="31"/>
      <c r="I54" s="141"/>
      <c r="J54" s="31"/>
      <c r="K54" s="191" t="str">
        <f>K3</f>
        <v>For  the 12 months ended 12/31/2022</v>
      </c>
    </row>
    <row r="55" spans="1:11" ht="13.2">
      <c r="A55" s="36"/>
      <c r="B55" s="192"/>
      <c r="C55" s="29"/>
      <c r="D55" s="32" t="s">
        <v>118</v>
      </c>
      <c r="E55" s="29"/>
      <c r="F55" s="29"/>
      <c r="G55" s="29"/>
      <c r="H55" s="29"/>
      <c r="I55" s="29"/>
      <c r="J55" s="29"/>
      <c r="K55" s="29"/>
    </row>
    <row r="56" spans="1:11" ht="13.2">
      <c r="A56" s="36"/>
      <c r="B56" s="31"/>
      <c r="C56" s="29"/>
      <c r="D56" s="654" t="str">
        <f>D5</f>
        <v>NextEra Energy Transmission MidAtlantic Indiana, Inc.</v>
      </c>
      <c r="E56" s="29"/>
      <c r="F56" s="29"/>
      <c r="G56" s="29" t="s">
        <v>8</v>
      </c>
      <c r="H56" s="29"/>
      <c r="I56" s="29"/>
      <c r="J56" s="29"/>
      <c r="K56" s="29"/>
    </row>
    <row r="57" spans="1:11" ht="13.2">
      <c r="A57" s="741"/>
      <c r="B57" s="741"/>
      <c r="C57" s="741"/>
      <c r="D57" s="741"/>
      <c r="E57" s="741"/>
      <c r="F57" s="741"/>
      <c r="G57" s="741"/>
      <c r="H57" s="741"/>
      <c r="I57" s="741"/>
      <c r="J57" s="741"/>
      <c r="K57" s="741"/>
    </row>
    <row r="58" spans="1:11" ht="13.2">
      <c r="A58" s="36"/>
      <c r="B58" s="153" t="s">
        <v>9</v>
      </c>
      <c r="C58" s="153" t="s">
        <v>10</v>
      </c>
      <c r="D58" s="153" t="s">
        <v>11</v>
      </c>
      <c r="E58" s="29" t="s">
        <v>8</v>
      </c>
      <c r="F58" s="29"/>
      <c r="G58" s="152" t="s">
        <v>12</v>
      </c>
      <c r="H58" s="29"/>
      <c r="I58" s="152" t="s">
        <v>13</v>
      </c>
      <c r="J58" s="29"/>
      <c r="K58" s="153"/>
    </row>
    <row r="59" spans="1:11" ht="13.2">
      <c r="A59" s="36"/>
      <c r="B59" s="31"/>
      <c r="C59" s="193"/>
      <c r="D59" s="29"/>
      <c r="E59" s="29"/>
      <c r="F59" s="29"/>
      <c r="G59" s="143"/>
      <c r="H59" s="29"/>
      <c r="I59" s="194" t="s">
        <v>23</v>
      </c>
      <c r="J59" s="29"/>
      <c r="K59" s="153"/>
    </row>
    <row r="60" spans="1:11" ht="13.2">
      <c r="A60" s="143" t="s">
        <v>14</v>
      </c>
      <c r="B60" s="31"/>
      <c r="C60" s="195" t="s">
        <v>250</v>
      </c>
      <c r="D60" s="194" t="s">
        <v>25</v>
      </c>
      <c r="E60" s="196"/>
      <c r="F60" s="194" t="s">
        <v>26</v>
      </c>
      <c r="G60" s="36"/>
      <c r="H60" s="196"/>
      <c r="I60" s="143" t="s">
        <v>27</v>
      </c>
      <c r="J60" s="29"/>
      <c r="K60" s="153"/>
    </row>
    <row r="61" spans="1:11" ht="13.8" thickBot="1">
      <c r="A61" s="33" t="s">
        <v>16</v>
      </c>
      <c r="B61" s="197" t="s">
        <v>477</v>
      </c>
      <c r="C61" s="29"/>
      <c r="D61" s="29"/>
      <c r="E61" s="29"/>
      <c r="F61" s="29"/>
      <c r="G61" s="29"/>
      <c r="H61" s="29"/>
      <c r="I61" s="29"/>
      <c r="J61" s="29"/>
      <c r="K61" s="29"/>
    </row>
    <row r="62" spans="1:11" ht="13.2">
      <c r="A62" s="143"/>
      <c r="B62" s="31" t="s">
        <v>570</v>
      </c>
      <c r="C62" s="29"/>
      <c r="D62" s="29"/>
      <c r="E62" s="29"/>
      <c r="F62" s="29"/>
      <c r="G62" s="29"/>
      <c r="H62" s="29"/>
      <c r="I62" s="29"/>
      <c r="J62" s="29"/>
      <c r="K62" s="29"/>
    </row>
    <row r="63" spans="1:11" ht="13.2">
      <c r="A63" s="143">
        <v>1</v>
      </c>
      <c r="B63" s="31" t="s">
        <v>367</v>
      </c>
      <c r="C63" s="44" t="s">
        <v>777</v>
      </c>
      <c r="D63" s="198">
        <v>0</v>
      </c>
      <c r="E63" s="29"/>
      <c r="F63" s="29" t="s">
        <v>28</v>
      </c>
      <c r="G63" s="199" t="s">
        <v>8</v>
      </c>
      <c r="H63" s="29"/>
      <c r="I63" s="18">
        <v>0</v>
      </c>
      <c r="J63" s="29"/>
      <c r="K63" s="29"/>
    </row>
    <row r="64" spans="1:11" ht="13.2">
      <c r="A64" s="143">
        <f>+A63+1</f>
        <v>2</v>
      </c>
      <c r="B64" s="31" t="s">
        <v>29</v>
      </c>
      <c r="C64" s="44" t="s">
        <v>370</v>
      </c>
      <c r="D64" s="214">
        <f>'4- Rate Base'!C24</f>
        <v>2486171.48</v>
      </c>
      <c r="E64" s="29"/>
      <c r="F64" s="29" t="s">
        <v>21</v>
      </c>
      <c r="G64" s="27">
        <f>I191</f>
        <v>1</v>
      </c>
      <c r="H64" s="44"/>
      <c r="I64" s="18">
        <f>+G64*D64</f>
        <v>2486171.48</v>
      </c>
      <c r="J64" s="29"/>
      <c r="K64" s="29"/>
    </row>
    <row r="65" spans="1:11" ht="13.2">
      <c r="A65" s="143">
        <f t="shared" si="0" ref="A65:A104">+A64+1</f>
        <v>3</v>
      </c>
      <c r="B65" s="31" t="s">
        <v>368</v>
      </c>
      <c r="C65" s="44" t="s">
        <v>372</v>
      </c>
      <c r="D65" s="198">
        <v>0</v>
      </c>
      <c r="E65" s="29"/>
      <c r="F65" s="29" t="s">
        <v>28</v>
      </c>
      <c r="G65" s="159">
        <v>0</v>
      </c>
      <c r="H65" s="44"/>
      <c r="I65" s="18">
        <v>0</v>
      </c>
      <c r="J65" s="29"/>
      <c r="K65" s="29"/>
    </row>
    <row r="66" spans="1:11" ht="13.2">
      <c r="A66" s="143">
        <f>+A65+1</f>
        <v>4</v>
      </c>
      <c r="B66" s="31" t="s">
        <v>104</v>
      </c>
      <c r="C66" s="44" t="s">
        <v>371</v>
      </c>
      <c r="D66" s="214">
        <f>'4- Rate Base'!D24</f>
        <v>0</v>
      </c>
      <c r="E66" s="29"/>
      <c r="F66" s="29" t="s">
        <v>30</v>
      </c>
      <c r="G66" s="27">
        <f>I199</f>
        <v>1</v>
      </c>
      <c r="H66" s="44"/>
      <c r="I66" s="18">
        <f>+G66*D66</f>
        <v>0</v>
      </c>
      <c r="J66" s="29"/>
      <c r="K66" s="29"/>
    </row>
    <row r="67" spans="1:11" ht="13.8" thickBot="1">
      <c r="A67" s="143">
        <f>+A66+1</f>
        <v>5</v>
      </c>
      <c r="B67" s="31" t="s">
        <v>369</v>
      </c>
      <c r="C67" s="29" t="s">
        <v>373</v>
      </c>
      <c r="D67" s="200">
        <v>0</v>
      </c>
      <c r="E67" s="29"/>
      <c r="F67" s="29" t="s">
        <v>132</v>
      </c>
      <c r="G67" s="27">
        <f>K203</f>
        <v>1</v>
      </c>
      <c r="H67" s="44"/>
      <c r="I67" s="201">
        <f>+G67*D67</f>
        <v>0</v>
      </c>
      <c r="J67" s="29"/>
      <c r="K67" s="29"/>
    </row>
    <row r="68" spans="1:11" ht="13.2">
      <c r="A68" s="143">
        <f>+A67+1</f>
        <v>6</v>
      </c>
      <c r="B68" s="28" t="s">
        <v>279</v>
      </c>
      <c r="C68" s="29" t="s">
        <v>278</v>
      </c>
      <c r="D68" s="18">
        <f>SUM(D63:D67)</f>
        <v>2486171.48</v>
      </c>
      <c r="E68" s="29"/>
      <c r="F68" s="29" t="s">
        <v>31</v>
      </c>
      <c r="G68" s="202">
        <f>IF(I68&gt;0,I68/D68,0)</f>
        <v>1</v>
      </c>
      <c r="H68" s="44"/>
      <c r="I68" s="18">
        <f>SUM(I63:I67)</f>
        <v>2486171.48</v>
      </c>
      <c r="J68" s="29"/>
      <c r="K68" s="203"/>
    </row>
    <row r="69" spans="1:11" ht="13.2">
      <c r="A69" s="143"/>
      <c r="B69" s="31"/>
      <c r="C69" s="29"/>
      <c r="D69" s="18"/>
      <c r="E69" s="29"/>
      <c r="F69" s="29"/>
      <c r="G69" s="203"/>
      <c r="H69" s="29"/>
      <c r="I69" s="18"/>
      <c r="J69" s="29"/>
      <c r="K69" s="203"/>
    </row>
    <row r="70" spans="1:11" ht="13.2">
      <c r="A70" s="143">
        <f>+A68+1</f>
        <v>7</v>
      </c>
      <c r="B70" s="31" t="s">
        <v>571</v>
      </c>
      <c r="C70" s="29"/>
      <c r="D70" s="18"/>
      <c r="E70" s="29"/>
      <c r="F70" s="29"/>
      <c r="G70" s="29"/>
      <c r="H70" s="29"/>
      <c r="I70" s="18"/>
      <c r="J70" s="29"/>
      <c r="K70" s="29"/>
    </row>
    <row r="71" spans="1:11" ht="13.2">
      <c r="A71" s="143">
        <f>+A70+1</f>
        <v>8</v>
      </c>
      <c r="B71" s="31" t="s">
        <v>367</v>
      </c>
      <c r="C71" s="29" t="s">
        <v>374</v>
      </c>
      <c r="D71" s="198">
        <v>0</v>
      </c>
      <c r="E71" s="29"/>
      <c r="F71" s="29" t="s">
        <v>28</v>
      </c>
      <c r="G71" s="199" t="s">
        <v>8</v>
      </c>
      <c r="H71" s="29"/>
      <c r="I71" s="18">
        <v>0</v>
      </c>
      <c r="J71" s="29"/>
      <c r="K71" s="29"/>
    </row>
    <row r="72" spans="1:11" ht="13.2">
      <c r="A72" s="143">
        <f>+A71+1</f>
        <v>9</v>
      </c>
      <c r="B72" s="31" t="s">
        <v>29</v>
      </c>
      <c r="C72" s="29" t="s">
        <v>376</v>
      </c>
      <c r="D72" s="214">
        <f>'4- Rate Base'!I24</f>
        <v>2164091.7701140391</v>
      </c>
      <c r="E72" s="29"/>
      <c r="F72" s="29" t="s">
        <v>21</v>
      </c>
      <c r="G72" s="27">
        <f>+G64</f>
        <v>1</v>
      </c>
      <c r="H72" s="44"/>
      <c r="I72" s="18">
        <f>+G72*D72</f>
        <v>2164091.7701140391</v>
      </c>
      <c r="J72" s="29"/>
      <c r="K72" s="29"/>
    </row>
    <row r="73" spans="1:11" ht="13.2">
      <c r="A73" s="143">
        <f>+A72+1</f>
        <v>10</v>
      </c>
      <c r="B73" s="31" t="s">
        <v>368</v>
      </c>
      <c r="C73" s="29" t="s">
        <v>375</v>
      </c>
      <c r="D73" s="198">
        <v>0</v>
      </c>
      <c r="E73" s="29"/>
      <c r="F73" s="29" t="s">
        <v>28</v>
      </c>
      <c r="G73" s="27">
        <f>+G65</f>
        <v>0</v>
      </c>
      <c r="H73" s="44"/>
      <c r="I73" s="214">
        <f>+G73*D73</f>
        <v>0</v>
      </c>
      <c r="J73" s="29"/>
      <c r="K73" s="29"/>
    </row>
    <row r="74" spans="1:11" ht="13.2">
      <c r="A74" s="143">
        <f>+A73+1</f>
        <v>11</v>
      </c>
      <c r="B74" s="31" t="s">
        <v>104</v>
      </c>
      <c r="C74" s="29" t="s">
        <v>377</v>
      </c>
      <c r="D74" s="214">
        <f>'4- Rate Base'!J24</f>
        <v>0</v>
      </c>
      <c r="E74" s="29"/>
      <c r="F74" s="29" t="s">
        <v>30</v>
      </c>
      <c r="G74" s="27">
        <f>+G66</f>
        <v>1</v>
      </c>
      <c r="H74" s="44"/>
      <c r="I74" s="18">
        <f>+G74*D74</f>
        <v>0</v>
      </c>
      <c r="J74" s="29"/>
      <c r="K74" s="29"/>
    </row>
    <row r="75" spans="1:11" ht="13.8" thickBot="1">
      <c r="A75" s="143">
        <f>+A74+1</f>
        <v>12</v>
      </c>
      <c r="B75" s="31" t="s">
        <v>369</v>
      </c>
      <c r="C75" s="29" t="s">
        <v>373</v>
      </c>
      <c r="D75" s="200">
        <v>0</v>
      </c>
      <c r="E75" s="29"/>
      <c r="F75" s="29" t="s">
        <v>132</v>
      </c>
      <c r="G75" s="27">
        <f>+G67</f>
        <v>1</v>
      </c>
      <c r="H75" s="44"/>
      <c r="I75" s="201">
        <f>+G75*D75</f>
        <v>0</v>
      </c>
      <c r="J75" s="29"/>
      <c r="K75" s="29"/>
    </row>
    <row r="76" spans="1:11" ht="13.2">
      <c r="A76" s="143">
        <f>+A75+1</f>
        <v>13</v>
      </c>
      <c r="B76" s="31" t="s">
        <v>281</v>
      </c>
      <c r="C76" s="29" t="s">
        <v>280</v>
      </c>
      <c r="D76" s="18">
        <f>SUM(D71:D75)</f>
        <v>2164091.7701140391</v>
      </c>
      <c r="E76" s="29"/>
      <c r="F76" s="29"/>
      <c r="G76" s="27"/>
      <c r="H76" s="44"/>
      <c r="I76" s="18">
        <f>SUM(I71:I75)</f>
        <v>2164091.7701140391</v>
      </c>
      <c r="J76" s="29"/>
      <c r="K76" s="29"/>
    </row>
    <row r="77" spans="1:11" ht="13.2">
      <c r="A77" s="143"/>
      <c r="B77" s="36"/>
      <c r="C77" s="29" t="s">
        <v>8</v>
      </c>
      <c r="D77" s="18"/>
      <c r="E77" s="29"/>
      <c r="F77" s="29"/>
      <c r="G77" s="202"/>
      <c r="H77" s="29"/>
      <c r="I77" s="18"/>
      <c r="J77" s="29"/>
      <c r="K77" s="203"/>
    </row>
    <row r="78" spans="1:11" ht="13.2">
      <c r="A78" s="143">
        <f>+A76+1</f>
        <v>14</v>
      </c>
      <c r="B78" s="31" t="s">
        <v>32</v>
      </c>
      <c r="C78" s="29"/>
      <c r="D78" s="18"/>
      <c r="E78" s="29"/>
      <c r="F78" s="29"/>
      <c r="G78" s="27"/>
      <c r="H78" s="29"/>
      <c r="I78" s="18"/>
      <c r="J78" s="29"/>
      <c r="K78" s="29"/>
    </row>
    <row r="79" spans="1:11" ht="13.2">
      <c r="A79" s="143">
        <f>+A78+1</f>
        <v>15</v>
      </c>
      <c r="B79" s="31" t="s">
        <v>367</v>
      </c>
      <c r="C79" s="29" t="str">
        <f>"(line "&amp;A63&amp;"minus line "&amp;A71&amp;")"</f>
        <v>(line 1minus line 8)</v>
      </c>
      <c r="D79" s="18">
        <f>D63-D71</f>
        <v>0</v>
      </c>
      <c r="E79" s="44"/>
      <c r="F79" s="44"/>
      <c r="G79" s="202"/>
      <c r="H79" s="44"/>
      <c r="I79" s="18">
        <f>I63-I71</f>
        <v>0</v>
      </c>
      <c r="J79" s="29"/>
      <c r="K79" s="203"/>
    </row>
    <row r="80" spans="1:11" ht="13.2">
      <c r="A80" s="143">
        <f>+A79+1</f>
        <v>16</v>
      </c>
      <c r="B80" s="31" t="s">
        <v>29</v>
      </c>
      <c r="C80" s="29" t="s">
        <v>795</v>
      </c>
      <c r="D80" s="18">
        <f>D64-D72</f>
        <v>322079.70988596091</v>
      </c>
      <c r="E80" s="44"/>
      <c r="F80" s="44"/>
      <c r="G80" s="27"/>
      <c r="H80" s="44"/>
      <c r="I80" s="18">
        <f>I64-I72</f>
        <v>322079.70988596091</v>
      </c>
      <c r="J80" s="29"/>
      <c r="K80" s="203"/>
    </row>
    <row r="81" spans="1:11" ht="13.2">
      <c r="A81" s="143">
        <f>+A80+1</f>
        <v>17</v>
      </c>
      <c r="B81" s="31" t="s">
        <v>368</v>
      </c>
      <c r="C81" s="29" t="str">
        <f>"(line "&amp;A65&amp;" minus line "&amp;A73&amp;")"</f>
        <v>(line 3 minus line 10)</v>
      </c>
      <c r="D81" s="18">
        <f>D65-D73</f>
        <v>0</v>
      </c>
      <c r="E81" s="44"/>
      <c r="F81" s="44"/>
      <c r="G81" s="202"/>
      <c r="H81" s="44"/>
      <c r="I81" s="214">
        <f>I65-I73</f>
        <v>0</v>
      </c>
      <c r="J81" s="29"/>
      <c r="K81" s="203"/>
    </row>
    <row r="82" spans="1:11" ht="13.2">
      <c r="A82" s="143">
        <f>+A81+1</f>
        <v>18</v>
      </c>
      <c r="B82" s="31" t="s">
        <v>104</v>
      </c>
      <c r="C82" s="29" t="s">
        <v>796</v>
      </c>
      <c r="D82" s="18">
        <f>D66-D74</f>
        <v>0</v>
      </c>
      <c r="E82" s="44"/>
      <c r="F82" s="44"/>
      <c r="G82" s="202"/>
      <c r="H82" s="44"/>
      <c r="I82" s="18">
        <f>I66-I74</f>
        <v>0</v>
      </c>
      <c r="J82" s="29"/>
      <c r="K82" s="203"/>
    </row>
    <row r="83" spans="1:11" ht="13.8" thickBot="1">
      <c r="A83" s="143">
        <f>+A82+1</f>
        <v>19</v>
      </c>
      <c r="B83" s="31" t="s">
        <v>369</v>
      </c>
      <c r="C83" s="29" t="str">
        <f>"(line "&amp;A67&amp;" minus line "&amp;A75&amp;")"</f>
        <v>(line 5 minus line 12)</v>
      </c>
      <c r="D83" s="201">
        <f>D67-D75</f>
        <v>0</v>
      </c>
      <c r="E83" s="44"/>
      <c r="F83" s="44"/>
      <c r="G83" s="202"/>
      <c r="H83" s="44"/>
      <c r="I83" s="201">
        <f>I67-I75</f>
        <v>0</v>
      </c>
      <c r="J83" s="29"/>
      <c r="K83" s="203"/>
    </row>
    <row r="84" spans="1:11" ht="13.2">
      <c r="A84" s="143">
        <f>+A83+1</f>
        <v>20</v>
      </c>
      <c r="B84" s="31" t="s">
        <v>285</v>
      </c>
      <c r="C84" s="29" t="s">
        <v>282</v>
      </c>
      <c r="D84" s="18">
        <f>SUM(D79:D83)</f>
        <v>322079.70988596091</v>
      </c>
      <c r="E84" s="44"/>
      <c r="F84" s="44" t="s">
        <v>33</v>
      </c>
      <c r="G84" s="202">
        <f>IF(I84&gt;0,I84/D84,0)</f>
        <v>1</v>
      </c>
      <c r="H84" s="44"/>
      <c r="I84" s="18">
        <f>SUM(I79:I83)</f>
        <v>322079.70988596091</v>
      </c>
      <c r="J84" s="29"/>
      <c r="K84" s="29"/>
    </row>
    <row r="85" spans="1:11" ht="13.2">
      <c r="A85" s="143"/>
      <c r="B85" s="36"/>
      <c r="C85" s="29"/>
      <c r="D85" s="18"/>
      <c r="E85" s="29"/>
      <c r="F85" s="36"/>
      <c r="G85" s="36"/>
      <c r="H85" s="29"/>
      <c r="I85" s="18"/>
      <c r="J85" s="29"/>
      <c r="K85" s="203"/>
    </row>
    <row r="86" spans="1:11" ht="13.2">
      <c r="A86" s="143">
        <f>+A84+1</f>
        <v>21</v>
      </c>
      <c r="B86" s="28" t="s">
        <v>572</v>
      </c>
      <c r="C86" s="29"/>
      <c r="D86" s="18"/>
      <c r="E86" s="29"/>
      <c r="F86" s="29"/>
      <c r="G86" s="29"/>
      <c r="H86" s="29"/>
      <c r="I86" s="18"/>
      <c r="J86" s="29"/>
      <c r="K86" s="29"/>
    </row>
    <row r="87" spans="1:11" ht="13.2">
      <c r="A87" s="143">
        <f>+A86+1</f>
        <v>22</v>
      </c>
      <c r="B87" s="31" t="s">
        <v>105</v>
      </c>
      <c r="C87" s="29" t="s">
        <v>716</v>
      </c>
      <c r="D87" s="214">
        <f>-'4- Rate Base'!E44</f>
        <v>0</v>
      </c>
      <c r="E87" s="37"/>
      <c r="F87" s="37" t="s">
        <v>28</v>
      </c>
      <c r="G87" s="204" t="s">
        <v>133</v>
      </c>
      <c r="H87" s="44"/>
      <c r="I87" s="18">
        <v>0</v>
      </c>
      <c r="J87" s="29"/>
      <c r="K87" s="203"/>
    </row>
    <row r="88" spans="1:11" ht="13.2">
      <c r="A88" s="143">
        <f>+A87+1</f>
        <v>23</v>
      </c>
      <c r="B88" s="31" t="s">
        <v>106</v>
      </c>
      <c r="C88" s="29" t="s">
        <v>717</v>
      </c>
      <c r="D88" s="559">
        <f>-'4- Rate Base'!F44</f>
        <v>-23625.059802494761</v>
      </c>
      <c r="E88" s="29"/>
      <c r="F88" s="29" t="s">
        <v>34</v>
      </c>
      <c r="G88" s="206">
        <f>+G84</f>
        <v>1</v>
      </c>
      <c r="H88" s="44"/>
      <c r="I88" s="18">
        <f>D88*G88</f>
        <v>-23625.059802494761</v>
      </c>
      <c r="J88" s="29"/>
      <c r="K88" s="203"/>
    </row>
    <row r="89" spans="1:11" ht="13.2">
      <c r="A89" s="143">
        <f>+A88+1</f>
        <v>24</v>
      </c>
      <c r="B89" s="31" t="s">
        <v>107</v>
      </c>
      <c r="C89" s="29" t="s">
        <v>718</v>
      </c>
      <c r="D89" s="559">
        <f>-'4- Rate Base'!G44</f>
        <v>-87018</v>
      </c>
      <c r="E89" s="29"/>
      <c r="F89" s="29" t="s">
        <v>34</v>
      </c>
      <c r="G89" s="206">
        <f>+G88</f>
        <v>1</v>
      </c>
      <c r="H89" s="44"/>
      <c r="I89" s="18">
        <f>D89*G89</f>
        <v>-87018</v>
      </c>
      <c r="J89" s="29"/>
      <c r="K89" s="203"/>
    </row>
    <row r="90" spans="1:11" ht="13.2">
      <c r="A90" s="143">
        <f>+A89+1</f>
        <v>25</v>
      </c>
      <c r="B90" s="31" t="s">
        <v>112</v>
      </c>
      <c r="C90" s="29" t="s">
        <v>719</v>
      </c>
      <c r="D90" s="559">
        <f>-'4- Rate Base'!H44</f>
        <v>0</v>
      </c>
      <c r="E90" s="29"/>
      <c r="F90" s="29" t="s">
        <v>34</v>
      </c>
      <c r="G90" s="206">
        <f>+G89</f>
        <v>1</v>
      </c>
      <c r="H90" s="44"/>
      <c r="I90" s="18">
        <f>D90*G90</f>
        <v>0</v>
      </c>
      <c r="J90" s="29"/>
      <c r="K90" s="203"/>
    </row>
    <row r="91" spans="1:11" ht="13.2">
      <c r="A91" s="143">
        <f>+A90+1</f>
        <v>26</v>
      </c>
      <c r="B91" s="36" t="s">
        <v>108</v>
      </c>
      <c r="C91" s="36" t="s">
        <v>577</v>
      </c>
      <c r="D91" s="559">
        <f>-'4- Rate Base'!I44</f>
        <v>0</v>
      </c>
      <c r="E91" s="29"/>
      <c r="F91" s="29" t="s">
        <v>34</v>
      </c>
      <c r="G91" s="206">
        <f>+G89</f>
        <v>1</v>
      </c>
      <c r="H91" s="44"/>
      <c r="I91" s="42">
        <f>D91*G91</f>
        <v>0</v>
      </c>
      <c r="J91" s="29"/>
      <c r="K91" s="203"/>
    </row>
    <row r="92" spans="1:11" s="298" customFormat="1" ht="13.2">
      <c r="A92" s="461" t="s">
        <v>492</v>
      </c>
      <c r="B92" s="34" t="s">
        <v>569</v>
      </c>
      <c r="C92" s="34" t="s">
        <v>835</v>
      </c>
      <c r="D92" s="559">
        <f>-'4- Rate Base'!I59</f>
        <v>0</v>
      </c>
      <c r="E92" s="37"/>
      <c r="F92" s="37" t="s">
        <v>93</v>
      </c>
      <c r="G92" s="462">
        <f>G93</f>
        <v>1</v>
      </c>
      <c r="H92" s="215"/>
      <c r="I92" s="52">
        <f>+G92*D92</f>
        <v>0</v>
      </c>
      <c r="J92" s="37"/>
      <c r="K92" s="463"/>
    </row>
    <row r="93" spans="1:11" ht="13.2">
      <c r="A93" s="143">
        <f>+A91+1</f>
        <v>27</v>
      </c>
      <c r="B93" s="173" t="s">
        <v>103</v>
      </c>
      <c r="C93" s="211" t="s">
        <v>251</v>
      </c>
      <c r="D93" s="559">
        <f>'4- Rate Base'!E24</f>
        <v>0</v>
      </c>
      <c r="E93" s="207"/>
      <c r="F93" s="208" t="str">
        <f>+F94</f>
        <v>DA</v>
      </c>
      <c r="G93" s="209">
        <v>1</v>
      </c>
      <c r="H93" s="207"/>
      <c r="I93" s="42">
        <f>+G93*D93</f>
        <v>0</v>
      </c>
      <c r="K93" s="203"/>
    </row>
    <row r="94" spans="1:11" ht="13.2">
      <c r="A94" s="143">
        <f>+A93+1</f>
        <v>28</v>
      </c>
      <c r="B94" s="210" t="s">
        <v>121</v>
      </c>
      <c r="C94" s="211" t="s">
        <v>415</v>
      </c>
      <c r="D94" s="559">
        <f>+'4- Rate Base'!C44</f>
        <v>0</v>
      </c>
      <c r="E94" s="208"/>
      <c r="F94" s="208" t="str">
        <f>+F95</f>
        <v>DA</v>
      </c>
      <c r="G94" s="209">
        <v>1</v>
      </c>
      <c r="H94" s="208"/>
      <c r="I94" s="42">
        <f>+G94*D94</f>
        <v>0</v>
      </c>
      <c r="K94" s="203"/>
    </row>
    <row r="95" spans="1:11" ht="13.8" thickBot="1">
      <c r="A95" s="143">
        <f>+A94+1</f>
        <v>29</v>
      </c>
      <c r="B95" s="210" t="s">
        <v>122</v>
      </c>
      <c r="C95" s="211" t="s">
        <v>378</v>
      </c>
      <c r="D95" s="226">
        <f>+'4- Rate Base'!D44</f>
        <v>0</v>
      </c>
      <c r="E95" s="207"/>
      <c r="F95" s="207" t="s">
        <v>93</v>
      </c>
      <c r="G95" s="212">
        <v>1</v>
      </c>
      <c r="H95" s="207"/>
      <c r="I95" s="201">
        <f>+G95*D95</f>
        <v>0</v>
      </c>
      <c r="K95" s="203"/>
    </row>
    <row r="96" spans="1:11" ht="13.2">
      <c r="A96" s="143">
        <f>+A95+1</f>
        <v>30</v>
      </c>
      <c r="B96" s="31" t="s">
        <v>284</v>
      </c>
      <c r="C96" s="29" t="s">
        <v>283</v>
      </c>
      <c r="D96" s="18">
        <f>SUM(D87:D95)</f>
        <v>-110643.05980249477</v>
      </c>
      <c r="E96" s="29"/>
      <c r="F96" s="29"/>
      <c r="G96" s="44"/>
      <c r="H96" s="44"/>
      <c r="I96" s="18">
        <f>SUM(I87:I95)</f>
        <v>-110643.05980249477</v>
      </c>
      <c r="J96" s="29"/>
      <c r="K96" s="29"/>
    </row>
    <row r="97" spans="1:11" ht="13.2">
      <c r="A97" s="143"/>
      <c r="B97" s="36"/>
      <c r="C97" s="29"/>
      <c r="D97" s="18"/>
      <c r="E97" s="29"/>
      <c r="F97" s="29"/>
      <c r="G97" s="203"/>
      <c r="H97" s="29"/>
      <c r="I97" s="18"/>
      <c r="J97" s="29"/>
      <c r="K97" s="203"/>
    </row>
    <row r="98" spans="1:11" ht="13.2">
      <c r="A98" s="143">
        <f>+A96+1</f>
        <v>31</v>
      </c>
      <c r="B98" s="28" t="s">
        <v>578</v>
      </c>
      <c r="C98" s="213" t="s">
        <v>379</v>
      </c>
      <c r="D98" s="214">
        <f>+'4- Rate Base'!F24</f>
        <v>0</v>
      </c>
      <c r="E98" s="29"/>
      <c r="F98" s="29" t="s">
        <v>21</v>
      </c>
      <c r="G98" s="27">
        <f>+G72</f>
        <v>1</v>
      </c>
      <c r="H98" s="44"/>
      <c r="I98" s="18">
        <f>+G98*D98</f>
        <v>0</v>
      </c>
      <c r="J98" s="29"/>
      <c r="K98" s="29"/>
    </row>
    <row r="99" spans="1:11" ht="13.2">
      <c r="A99" s="143"/>
      <c r="B99" s="31"/>
      <c r="C99" s="29"/>
      <c r="D99" s="18"/>
      <c r="E99" s="29"/>
      <c r="F99" s="29"/>
      <c r="G99" s="27"/>
      <c r="H99" s="44"/>
      <c r="I99" s="18"/>
      <c r="J99" s="29"/>
      <c r="K99" s="29"/>
    </row>
    <row r="100" spans="1:11" ht="13.2">
      <c r="A100" s="143">
        <f>+A98+1</f>
        <v>32</v>
      </c>
      <c r="B100" s="31" t="s">
        <v>289</v>
      </c>
      <c r="C100" s="29" t="s">
        <v>129</v>
      </c>
      <c r="D100" s="18"/>
      <c r="E100" s="29"/>
      <c r="F100" s="29"/>
      <c r="G100" s="27"/>
      <c r="H100" s="44"/>
      <c r="I100" s="18"/>
      <c r="J100" s="29"/>
      <c r="K100" s="29"/>
    </row>
    <row r="101" spans="1:11" ht="13.2">
      <c r="A101" s="143">
        <f>+A100+1</f>
        <v>33</v>
      </c>
      <c r="B101" s="31" t="s">
        <v>134</v>
      </c>
      <c r="C101" s="36" t="s">
        <v>380</v>
      </c>
      <c r="D101" s="214">
        <f>(D134-D131)/8</f>
        <v>54304.872810000001</v>
      </c>
      <c r="E101" s="37"/>
      <c r="F101" s="37"/>
      <c r="G101" s="159"/>
      <c r="H101" s="215"/>
      <c r="I101" s="214">
        <f>(I134-I131)/8</f>
        <v>54304.872810000001</v>
      </c>
      <c r="J101" s="149"/>
      <c r="K101" s="203"/>
    </row>
    <row r="102" spans="1:11" ht="13.2">
      <c r="A102" s="143">
        <f>+A101+1</f>
        <v>34</v>
      </c>
      <c r="B102" s="31" t="s">
        <v>203</v>
      </c>
      <c r="C102" s="213" t="s">
        <v>418</v>
      </c>
      <c r="D102" s="214">
        <f>+'4- Rate Base'!G24</f>
        <v>0</v>
      </c>
      <c r="E102" s="29"/>
      <c r="F102" s="29" t="s">
        <v>21</v>
      </c>
      <c r="G102" s="27">
        <f>+G119</f>
        <v>1</v>
      </c>
      <c r="H102" s="44"/>
      <c r="I102" s="18">
        <f>+G102*D102</f>
        <v>0</v>
      </c>
      <c r="J102" s="29" t="s">
        <v>8</v>
      </c>
      <c r="K102" s="203"/>
    </row>
    <row r="103" spans="1:11" ht="13.8" thickBot="1">
      <c r="A103" s="143">
        <f>+A102+1</f>
        <v>35</v>
      </c>
      <c r="B103" s="31" t="s">
        <v>109</v>
      </c>
      <c r="C103" s="44" t="s">
        <v>381</v>
      </c>
      <c r="D103" s="226">
        <f>+'4- Rate Base'!H24</f>
        <v>0</v>
      </c>
      <c r="E103" s="29"/>
      <c r="F103" s="29" t="s">
        <v>35</v>
      </c>
      <c r="G103" s="27">
        <f>+G68</f>
        <v>1</v>
      </c>
      <c r="H103" s="44"/>
      <c r="I103" s="201">
        <f>+G103*D103</f>
        <v>0</v>
      </c>
      <c r="J103" s="29"/>
      <c r="K103" s="203"/>
    </row>
    <row r="104" spans="1:11" ht="13.2">
      <c r="A104" s="143">
        <f>+A103+1</f>
        <v>36</v>
      </c>
      <c r="B104" s="31" t="s">
        <v>288</v>
      </c>
      <c r="C104" s="149" t="s">
        <v>558</v>
      </c>
      <c r="D104" s="18">
        <f>SUM(D101:D103)</f>
        <v>54304.872810000001</v>
      </c>
      <c r="E104" s="149"/>
      <c r="F104" s="149"/>
      <c r="G104" s="216"/>
      <c r="H104" s="216"/>
      <c r="I104" s="18">
        <f>I101+I102+I103</f>
        <v>54304.872810000001</v>
      </c>
      <c r="J104" s="149"/>
      <c r="K104" s="149"/>
    </row>
    <row r="105" spans="1:11" ht="13.8" thickBot="1">
      <c r="A105" s="143"/>
      <c r="B105" s="36"/>
      <c r="C105" s="29"/>
      <c r="D105" s="201"/>
      <c r="E105" s="29"/>
      <c r="F105" s="29"/>
      <c r="G105" s="29"/>
      <c r="H105" s="29"/>
      <c r="I105" s="201"/>
      <c r="J105" s="29"/>
      <c r="K105" s="29"/>
    </row>
    <row r="106" spans="1:11" ht="13.8" thickBot="1">
      <c r="A106" s="143">
        <f>+A104+1</f>
        <v>37</v>
      </c>
      <c r="B106" s="31" t="s">
        <v>291</v>
      </c>
      <c r="C106" s="29" t="s">
        <v>290</v>
      </c>
      <c r="D106" s="217">
        <f>+D104+D98+D96+D84</f>
        <v>265741.52289346617</v>
      </c>
      <c r="E106" s="44"/>
      <c r="F106" s="44"/>
      <c r="G106" s="218"/>
      <c r="H106" s="44"/>
      <c r="I106" s="217">
        <f>+I104+I98+I96+I84</f>
        <v>265741.52289346617</v>
      </c>
      <c r="J106" s="29"/>
      <c r="K106" s="203"/>
    </row>
    <row r="107" spans="1:11" ht="13.8" thickTop="1">
      <c r="A107" s="143"/>
      <c r="B107" s="31"/>
      <c r="C107" s="29"/>
      <c r="D107" s="219"/>
      <c r="E107" s="44"/>
      <c r="F107" s="44"/>
      <c r="G107" s="218"/>
      <c r="H107" s="44"/>
      <c r="I107" s="219"/>
      <c r="J107" s="29"/>
      <c r="K107" s="203"/>
    </row>
    <row r="108" spans="1:11" ht="13.2">
      <c r="A108" s="143"/>
      <c r="B108" s="31"/>
      <c r="C108" s="29"/>
      <c r="D108" s="219"/>
      <c r="E108" s="44"/>
      <c r="F108" s="44"/>
      <c r="G108" s="218"/>
      <c r="H108" s="44"/>
      <c r="I108" s="219"/>
      <c r="J108" s="29"/>
      <c r="K108" s="203"/>
    </row>
    <row r="109" spans="1:11" ht="13.2">
      <c r="A109" s="143"/>
      <c r="B109" s="31"/>
      <c r="C109" s="29"/>
      <c r="D109" s="29"/>
      <c r="E109" s="29"/>
      <c r="F109" s="29"/>
      <c r="G109" s="29"/>
      <c r="H109" s="29"/>
      <c r="I109" s="29"/>
      <c r="J109" s="29"/>
      <c r="K109" s="220" t="s">
        <v>135</v>
      </c>
    </row>
    <row r="110" spans="1:11" ht="13.2">
      <c r="A110" s="143"/>
      <c r="B110" s="31"/>
      <c r="C110" s="29"/>
      <c r="D110" s="29"/>
      <c r="E110" s="29"/>
      <c r="F110" s="29"/>
      <c r="G110" s="29"/>
      <c r="H110" s="29"/>
      <c r="I110" s="29"/>
      <c r="J110" s="29"/>
      <c r="K110" s="220"/>
    </row>
    <row r="111" spans="1:11" ht="13.2">
      <c r="A111" s="143"/>
      <c r="B111" s="31" t="s">
        <v>7</v>
      </c>
      <c r="C111" s="29"/>
      <c r="D111" s="32" t="s">
        <v>89</v>
      </c>
      <c r="E111" s="29"/>
      <c r="F111" s="29"/>
      <c r="G111" s="29"/>
      <c r="H111" s="29"/>
      <c r="I111" s="141"/>
      <c r="J111" s="29"/>
      <c r="K111" s="220" t="str">
        <f>K3</f>
        <v>For  the 12 months ended 12/31/2022</v>
      </c>
    </row>
    <row r="112" spans="1:11" ht="13.2">
      <c r="A112" s="143"/>
      <c r="B112" s="31"/>
      <c r="C112" s="29"/>
      <c r="D112" s="32" t="s">
        <v>118</v>
      </c>
      <c r="E112" s="29"/>
      <c r="F112" s="29"/>
      <c r="G112" s="29"/>
      <c r="H112" s="29"/>
      <c r="I112" s="29"/>
      <c r="J112" s="29"/>
      <c r="K112" s="29"/>
    </row>
    <row r="113" spans="1:11" ht="13.2">
      <c r="A113" s="143"/>
      <c r="B113" s="36"/>
      <c r="C113" s="29"/>
      <c r="D113" s="654" t="str">
        <f>D5</f>
        <v>NextEra Energy Transmission MidAtlantic Indiana, Inc.</v>
      </c>
      <c r="E113" s="29"/>
      <c r="F113" s="29"/>
      <c r="G113" s="29"/>
      <c r="H113" s="29"/>
      <c r="I113" s="29"/>
      <c r="J113" s="29"/>
      <c r="K113" s="29"/>
    </row>
    <row r="114" spans="1:11" ht="13.2">
      <c r="A114" s="742"/>
      <c r="B114" s="742"/>
      <c r="C114" s="742"/>
      <c r="D114" s="742"/>
      <c r="E114" s="742"/>
      <c r="F114" s="742"/>
      <c r="G114" s="742"/>
      <c r="H114" s="742"/>
      <c r="I114" s="742"/>
      <c r="J114" s="742"/>
      <c r="K114" s="742"/>
    </row>
    <row r="115" spans="1:11" ht="13.2">
      <c r="A115" s="143"/>
      <c r="B115" s="153" t="s">
        <v>9</v>
      </c>
      <c r="C115" s="153" t="s">
        <v>10</v>
      </c>
      <c r="D115" s="153" t="s">
        <v>11</v>
      </c>
      <c r="E115" s="29" t="s">
        <v>8</v>
      </c>
      <c r="F115" s="29"/>
      <c r="G115" s="152" t="s">
        <v>12</v>
      </c>
      <c r="H115" s="29"/>
      <c r="I115" s="152" t="s">
        <v>13</v>
      </c>
      <c r="J115" s="29"/>
      <c r="K115" s="29"/>
    </row>
    <row r="116" spans="1:11" ht="13.2">
      <c r="A116" s="143" t="s">
        <v>14</v>
      </c>
      <c r="B116" s="31"/>
      <c r="C116" s="193"/>
      <c r="D116" s="29"/>
      <c r="E116" s="29"/>
      <c r="F116" s="29"/>
      <c r="G116" s="143"/>
      <c r="H116" s="29"/>
      <c r="I116" s="194" t="s">
        <v>23</v>
      </c>
      <c r="J116" s="29"/>
      <c r="K116" s="194"/>
    </row>
    <row r="117" spans="1:11" ht="13.8" thickBot="1">
      <c r="A117" s="33" t="s">
        <v>16</v>
      </c>
      <c r="B117" s="31"/>
      <c r="C117" s="195" t="s">
        <v>250</v>
      </c>
      <c r="D117" s="194" t="s">
        <v>25</v>
      </c>
      <c r="E117" s="196"/>
      <c r="F117" s="194" t="s">
        <v>26</v>
      </c>
      <c r="G117" s="36"/>
      <c r="H117" s="196"/>
      <c r="I117" s="143" t="s">
        <v>27</v>
      </c>
      <c r="J117" s="29"/>
      <c r="K117" s="194"/>
    </row>
    <row r="118" spans="1:11" ht="13.2">
      <c r="A118" s="143"/>
      <c r="B118" s="31" t="s">
        <v>6</v>
      </c>
      <c r="C118" s="29"/>
      <c r="D118" s="29"/>
      <c r="E118" s="29"/>
      <c r="F118" s="29"/>
      <c r="G118" s="29"/>
      <c r="H118" s="29"/>
      <c r="I118" s="29"/>
      <c r="J118" s="29"/>
      <c r="K118" s="29"/>
    </row>
    <row r="119" spans="1:11" ht="13.2">
      <c r="A119" s="143">
        <v>1</v>
      </c>
      <c r="B119" s="31" t="s">
        <v>36</v>
      </c>
      <c r="C119" s="29" t="s">
        <v>384</v>
      </c>
      <c r="D119" s="214">
        <f>'5-P3 Support'!C24</f>
        <v>161000</v>
      </c>
      <c r="E119" s="29"/>
      <c r="F119" s="29" t="s">
        <v>21</v>
      </c>
      <c r="G119" s="27">
        <f>+I191</f>
        <v>1</v>
      </c>
      <c r="H119" s="44"/>
      <c r="I119" s="18">
        <f t="shared" si="1" ref="I119:I129">+G119*D119</f>
        <v>161000</v>
      </c>
      <c r="J119" s="149"/>
      <c r="K119" s="29"/>
    </row>
    <row r="120" spans="1:11" ht="13.2">
      <c r="A120" s="167">
        <f>+A119+1</f>
        <v>2</v>
      </c>
      <c r="B120" s="221" t="s">
        <v>114</v>
      </c>
      <c r="C120" s="29" t="s">
        <v>385</v>
      </c>
      <c r="D120" s="214">
        <f>'5-P3 Support'!D24</f>
        <v>0</v>
      </c>
      <c r="E120" s="211"/>
      <c r="F120" s="211" t="str">
        <f>+F119</f>
        <v>TP</v>
      </c>
      <c r="G120" s="159">
        <f>+G119</f>
        <v>1</v>
      </c>
      <c r="H120" s="211"/>
      <c r="I120" s="214">
        <f>+G120*D120</f>
        <v>0</v>
      </c>
      <c r="K120" s="29"/>
    </row>
    <row r="121" spans="1:11" ht="13.2">
      <c r="A121" s="167">
        <f t="shared" si="2" ref="A121:A167">+A120+1</f>
        <v>3</v>
      </c>
      <c r="B121" s="40" t="s">
        <v>37</v>
      </c>
      <c r="C121" s="29" t="s">
        <v>386</v>
      </c>
      <c r="D121" s="214">
        <f>'5-P3 Support'!E24</f>
        <v>0</v>
      </c>
      <c r="E121" s="29"/>
      <c r="F121" s="29" t="str">
        <f>+F120</f>
        <v>TP</v>
      </c>
      <c r="G121" s="27">
        <f>+G120</f>
        <v>1</v>
      </c>
      <c r="H121" s="44"/>
      <c r="I121" s="18">
        <f>+G121*D121</f>
        <v>0</v>
      </c>
      <c r="J121" s="149"/>
      <c r="K121" s="29"/>
    </row>
    <row r="122" spans="1:11" ht="13.2">
      <c r="A122" s="167">
        <f>+A121+1</f>
        <v>4</v>
      </c>
      <c r="B122" s="31" t="s">
        <v>38</v>
      </c>
      <c r="C122" s="29" t="s">
        <v>387</v>
      </c>
      <c r="D122" s="214">
        <f>'5-P3 Support'!F24</f>
        <v>273438.98248000001</v>
      </c>
      <c r="E122" s="29"/>
      <c r="F122" s="29" t="s">
        <v>30</v>
      </c>
      <c r="G122" s="27">
        <f>+G74</f>
        <v>1</v>
      </c>
      <c r="H122" s="44"/>
      <c r="I122" s="18">
        <f>+G122*D122</f>
        <v>273438.98248000001</v>
      </c>
      <c r="J122" s="29"/>
      <c r="K122" s="29" t="s">
        <v>8</v>
      </c>
    </row>
    <row r="123" spans="1:11" ht="13.2">
      <c r="A123" s="167">
        <f>+A122+1</f>
        <v>5</v>
      </c>
      <c r="B123" s="31" t="s">
        <v>136</v>
      </c>
      <c r="C123" s="29" t="s">
        <v>349</v>
      </c>
      <c r="D123" s="214">
        <f>'5-P3 Support'!G24</f>
        <v>0</v>
      </c>
      <c r="E123" s="29"/>
      <c r="F123" s="29" t="s">
        <v>30</v>
      </c>
      <c r="G123" s="27">
        <f>+G122</f>
        <v>1</v>
      </c>
      <c r="H123" s="44"/>
      <c r="I123" s="18">
        <f>+G123*D123</f>
        <v>0</v>
      </c>
      <c r="J123" s="29"/>
      <c r="K123" s="29"/>
    </row>
    <row r="124" spans="1:11" ht="13.2">
      <c r="A124" s="167">
        <f>+A123+1</f>
        <v>6</v>
      </c>
      <c r="B124" s="40" t="s">
        <v>272</v>
      </c>
      <c r="C124" s="37" t="s">
        <v>382</v>
      </c>
      <c r="D124" s="214">
        <f>'5-P3 Support'!H24</f>
        <v>0</v>
      </c>
      <c r="E124" s="29"/>
      <c r="F124" s="29" t="s">
        <v>30</v>
      </c>
      <c r="G124" s="27">
        <f>+G123</f>
        <v>1</v>
      </c>
      <c r="H124" s="44"/>
      <c r="I124" s="18">
        <f>+G124*D124</f>
        <v>0</v>
      </c>
      <c r="J124" s="29"/>
      <c r="K124" s="29"/>
    </row>
    <row r="125" spans="1:11" s="14" customFormat="1" ht="13.2">
      <c r="A125" s="167" t="s">
        <v>258</v>
      </c>
      <c r="B125" s="40" t="s">
        <v>259</v>
      </c>
      <c r="C125" s="37" t="s">
        <v>494</v>
      </c>
      <c r="D125" s="229">
        <f>+'7 - PBOP'!E16</f>
        <v>0</v>
      </c>
      <c r="E125" s="125"/>
      <c r="F125" s="29" t="s">
        <v>30</v>
      </c>
      <c r="G125" s="27">
        <f>+G124</f>
        <v>1</v>
      </c>
      <c r="H125" s="44"/>
      <c r="I125" s="18">
        <f>+G125*D125</f>
        <v>0</v>
      </c>
      <c r="J125" s="125"/>
      <c r="K125" s="125"/>
    </row>
    <row r="126" spans="1:11" ht="13.2">
      <c r="A126" s="167">
        <f>+A124+1</f>
        <v>7</v>
      </c>
      <c r="B126" s="40" t="s">
        <v>271</v>
      </c>
      <c r="C126" s="37" t="s">
        <v>473</v>
      </c>
      <c r="D126" s="214">
        <f>'5-P3 Support'!I24</f>
        <v>0</v>
      </c>
      <c r="E126" s="29"/>
      <c r="F126" s="222" t="s">
        <v>21</v>
      </c>
      <c r="G126" s="159">
        <f>+G119</f>
        <v>1</v>
      </c>
      <c r="H126" s="44"/>
      <c r="I126" s="18">
        <f>+G126*D126</f>
        <v>0</v>
      </c>
      <c r="J126" s="29"/>
      <c r="K126" s="29"/>
    </row>
    <row r="127" spans="1:11" s="14" customFormat="1" ht="13.2">
      <c r="A127" s="167" t="s">
        <v>260</v>
      </c>
      <c r="B127" s="40" t="s">
        <v>261</v>
      </c>
      <c r="C127" s="37" t="s">
        <v>495</v>
      </c>
      <c r="D127" s="229">
        <f>+'7 - PBOP'!E13</f>
        <v>0</v>
      </c>
      <c r="E127" s="125"/>
      <c r="F127" s="29" t="s">
        <v>30</v>
      </c>
      <c r="G127" s="27">
        <f>+G125</f>
        <v>1</v>
      </c>
      <c r="H127" s="44"/>
      <c r="I127" s="18">
        <f>+G127*D127</f>
        <v>0</v>
      </c>
      <c r="J127" s="125"/>
      <c r="K127" s="125"/>
    </row>
    <row r="128" spans="1:11" ht="13.2">
      <c r="A128" s="167">
        <f>+A126+1</f>
        <v>8</v>
      </c>
      <c r="B128" s="31" t="s">
        <v>369</v>
      </c>
      <c r="C128" s="29" t="s">
        <v>131</v>
      </c>
      <c r="D128" s="589">
        <v>0</v>
      </c>
      <c r="E128" s="29"/>
      <c r="F128" s="29" t="s">
        <v>132</v>
      </c>
      <c r="G128" s="27">
        <f>+G75</f>
        <v>1</v>
      </c>
      <c r="H128" s="44"/>
      <c r="I128" s="18">
        <f>+G128*D128</f>
        <v>0</v>
      </c>
      <c r="J128" s="29"/>
      <c r="K128" s="29"/>
    </row>
    <row r="129" spans="1:11" ht="13.2">
      <c r="A129" s="167">
        <f>+A128+1</f>
        <v>9</v>
      </c>
      <c r="B129" s="31" t="s">
        <v>39</v>
      </c>
      <c r="C129" s="29" t="s">
        <v>474</v>
      </c>
      <c r="D129" s="559">
        <f>'5-P3 Support'!J24</f>
        <v>0</v>
      </c>
      <c r="E129" s="29"/>
      <c r="F129" s="29" t="str">
        <f>+F131</f>
        <v>DA</v>
      </c>
      <c r="G129" s="223">
        <v>1</v>
      </c>
      <c r="H129" s="44"/>
      <c r="I129" s="42">
        <f>+G129*D129</f>
        <v>0</v>
      </c>
      <c r="J129" s="29"/>
      <c r="K129" s="29"/>
    </row>
    <row r="130" spans="1:11" ht="13.2">
      <c r="A130" s="167">
        <f>+A129+1</f>
        <v>10</v>
      </c>
      <c r="B130" s="221" t="s">
        <v>115</v>
      </c>
      <c r="C130" s="211"/>
      <c r="D130" s="52"/>
      <c r="E130" s="211"/>
      <c r="F130" s="211"/>
      <c r="G130" s="224"/>
      <c r="H130" s="211"/>
      <c r="I130" s="52"/>
      <c r="K130" s="29"/>
    </row>
    <row r="131" spans="1:11" ht="13.2">
      <c r="A131" s="167">
        <f>+A130+1</f>
        <v>11</v>
      </c>
      <c r="B131" s="221" t="s">
        <v>117</v>
      </c>
      <c r="C131" s="211" t="s">
        <v>475</v>
      </c>
      <c r="D131" s="559">
        <f>'5-P3 Support'!K24</f>
        <v>0</v>
      </c>
      <c r="E131" s="208"/>
      <c r="F131" s="208" t="s">
        <v>93</v>
      </c>
      <c r="G131" s="225">
        <v>1</v>
      </c>
      <c r="H131" s="208"/>
      <c r="I131" s="52">
        <f>+G131*D131</f>
        <v>0</v>
      </c>
      <c r="K131" s="29"/>
    </row>
    <row r="132" spans="1:11" ht="13.2">
      <c r="A132" s="167">
        <f>+A131+1</f>
        <v>12</v>
      </c>
      <c r="B132" s="221" t="s">
        <v>496</v>
      </c>
      <c r="C132" s="29" t="s">
        <v>476</v>
      </c>
      <c r="D132" s="559">
        <f>'5-P3 Support'!L24</f>
        <v>0</v>
      </c>
      <c r="E132" s="208"/>
      <c r="F132" s="208" t="s">
        <v>21</v>
      </c>
      <c r="G132" s="225">
        <f>+G119</f>
        <v>1</v>
      </c>
      <c r="H132" s="208"/>
      <c r="I132" s="52">
        <f>+G132*D132</f>
        <v>0</v>
      </c>
      <c r="K132" s="29"/>
    </row>
    <row r="133" spans="1:11" ht="13.8" thickBot="1">
      <c r="A133" s="167">
        <f>+A132+1</f>
        <v>13</v>
      </c>
      <c r="B133" s="221" t="s">
        <v>116</v>
      </c>
      <c r="C133" s="211" t="s">
        <v>579</v>
      </c>
      <c r="D133" s="226">
        <f>+D131+D132</f>
        <v>0</v>
      </c>
      <c r="E133" s="208"/>
      <c r="F133" s="208"/>
      <c r="G133" s="225"/>
      <c r="H133" s="208"/>
      <c r="I133" s="226"/>
      <c r="K133" s="29"/>
    </row>
    <row r="134" spans="1:11" ht="13.2">
      <c r="A134" s="167">
        <f>+A133+1</f>
        <v>14</v>
      </c>
      <c r="B134" s="227" t="s">
        <v>292</v>
      </c>
      <c r="C134" s="126" t="s">
        <v>383</v>
      </c>
      <c r="D134" s="18">
        <f>+D119-D121-D120+D122-D123-D124-D125+D126+D127+D128+D129+D133</f>
        <v>434438.98248000001</v>
      </c>
      <c r="E134" s="18"/>
      <c r="F134" s="18"/>
      <c r="G134" s="18"/>
      <c r="H134" s="18"/>
      <c r="I134" s="18">
        <f>+I119-I121-I120+I122-I123-I124-I125+I126+I127+I128+I129+I133</f>
        <v>434438.98248000001</v>
      </c>
      <c r="J134" s="29"/>
      <c r="K134" s="29"/>
    </row>
    <row r="135" spans="1:11" ht="13.2">
      <c r="A135" s="167"/>
      <c r="B135" s="36"/>
      <c r="C135" s="29"/>
      <c r="D135" s="18"/>
      <c r="E135" s="18"/>
      <c r="F135" s="18"/>
      <c r="G135" s="18"/>
      <c r="H135" s="18"/>
      <c r="I135" s="18"/>
      <c r="J135" s="29"/>
      <c r="K135" s="29"/>
    </row>
    <row r="136" spans="1:11" ht="13.2">
      <c r="A136" s="167">
        <f>+A134+1</f>
        <v>15</v>
      </c>
      <c r="B136" s="31" t="s">
        <v>478</v>
      </c>
      <c r="C136" s="29"/>
      <c r="D136" s="18"/>
      <c r="E136" s="18"/>
      <c r="F136" s="18"/>
      <c r="G136" s="18"/>
      <c r="H136" s="18"/>
      <c r="I136" s="18"/>
      <c r="J136" s="29"/>
      <c r="K136" s="29"/>
    </row>
    <row r="137" spans="1:11" ht="13.2">
      <c r="A137" s="167">
        <f>+A136+1</f>
        <v>16</v>
      </c>
      <c r="B137" s="31" t="s">
        <v>36</v>
      </c>
      <c r="C137" s="213" t="s">
        <v>580</v>
      </c>
      <c r="D137" s="214">
        <f>'5-P3 Support'!M24</f>
        <v>58105.89906199999</v>
      </c>
      <c r="E137" s="18"/>
      <c r="F137" s="18" t="s">
        <v>21</v>
      </c>
      <c r="G137" s="18">
        <f>+G98</f>
        <v>1</v>
      </c>
      <c r="H137" s="18"/>
      <c r="I137" s="18">
        <f>+G137*D137</f>
        <v>58105.89906199999</v>
      </c>
      <c r="J137" s="29"/>
      <c r="K137" s="203"/>
    </row>
    <row r="138" spans="1:11" ht="13.2">
      <c r="A138" s="167">
        <f>+A137+1</f>
        <v>17</v>
      </c>
      <c r="B138" s="228" t="s">
        <v>104</v>
      </c>
      <c r="C138" s="213" t="s">
        <v>582</v>
      </c>
      <c r="D138" s="214">
        <f>'5-P3 Support'!C45</f>
        <v>0</v>
      </c>
      <c r="E138" s="18"/>
      <c r="F138" s="18" t="s">
        <v>30</v>
      </c>
      <c r="G138" s="18">
        <f>+G122</f>
        <v>1</v>
      </c>
      <c r="H138" s="18"/>
      <c r="I138" s="18">
        <f>+G138*D138</f>
        <v>0</v>
      </c>
      <c r="J138" s="29"/>
      <c r="K138" s="203"/>
    </row>
    <row r="139" spans="1:11" ht="13.2">
      <c r="A139" s="167">
        <f>+A138+1</f>
        <v>18</v>
      </c>
      <c r="B139" s="31" t="s">
        <v>369</v>
      </c>
      <c r="C139" s="213" t="s">
        <v>581</v>
      </c>
      <c r="D139" s="205">
        <v>0</v>
      </c>
      <c r="E139" s="42"/>
      <c r="F139" s="42" t="s">
        <v>132</v>
      </c>
      <c r="G139" s="42">
        <f>+G128</f>
        <v>1</v>
      </c>
      <c r="H139" s="42"/>
      <c r="I139" s="42">
        <f>+G139*D139</f>
        <v>0</v>
      </c>
      <c r="J139" s="29"/>
      <c r="K139" s="203"/>
    </row>
    <row r="140" spans="1:11" ht="13.8" thickBot="1">
      <c r="A140" s="167">
        <f>+A139+1</f>
        <v>19</v>
      </c>
      <c r="B140" s="221" t="s">
        <v>110</v>
      </c>
      <c r="C140" s="37" t="s">
        <v>388</v>
      </c>
      <c r="D140" s="226">
        <f>'5-P3 Support'!D45</f>
        <v>0</v>
      </c>
      <c r="E140" s="18"/>
      <c r="F140" s="18" t="s">
        <v>93</v>
      </c>
      <c r="G140" s="223">
        <v>1</v>
      </c>
      <c r="H140" s="18"/>
      <c r="I140" s="201">
        <f>+G140*D140</f>
        <v>0</v>
      </c>
      <c r="J140" s="29"/>
      <c r="K140" s="203"/>
    </row>
    <row r="141" spans="1:11" ht="13.2">
      <c r="A141" s="167">
        <f>+A140+1</f>
        <v>20</v>
      </c>
      <c r="B141" s="31" t="s">
        <v>274</v>
      </c>
      <c r="C141" s="29" t="s">
        <v>273</v>
      </c>
      <c r="D141" s="18">
        <f>SUM(D137:D140)</f>
        <v>58105.89906199999</v>
      </c>
      <c r="E141" s="18"/>
      <c r="F141" s="18"/>
      <c r="G141" s="18"/>
      <c r="H141" s="18"/>
      <c r="I141" s="18">
        <f>SUM(I137:I140)</f>
        <v>58105.89906199999</v>
      </c>
      <c r="J141" s="29"/>
      <c r="K141" s="29"/>
    </row>
    <row r="142" spans="1:11" ht="13.2">
      <c r="A142" s="167"/>
      <c r="B142" s="31"/>
      <c r="C142" s="29"/>
      <c r="D142" s="18"/>
      <c r="E142" s="18"/>
      <c r="F142" s="18"/>
      <c r="G142" s="18"/>
      <c r="H142" s="18"/>
      <c r="I142" s="18"/>
      <c r="J142" s="29"/>
      <c r="K142" s="29"/>
    </row>
    <row r="143" spans="1:11" ht="13.2">
      <c r="A143" s="167">
        <f>+A141+1</f>
        <v>21</v>
      </c>
      <c r="B143" s="31" t="s">
        <v>275</v>
      </c>
      <c r="C143" s="34" t="s">
        <v>198</v>
      </c>
      <c r="D143" s="18"/>
      <c r="E143" s="18"/>
      <c r="F143" s="18"/>
      <c r="G143" s="18"/>
      <c r="H143" s="18"/>
      <c r="I143" s="18"/>
      <c r="J143" s="29"/>
      <c r="K143" s="29"/>
    </row>
    <row r="144" spans="1:11" ht="13.2">
      <c r="A144" s="167">
        <f>+A143+1</f>
        <v>22</v>
      </c>
      <c r="B144" s="31" t="s">
        <v>40</v>
      </c>
      <c r="C144" s="36"/>
      <c r="D144" s="18"/>
      <c r="E144" s="18"/>
      <c r="F144" s="18"/>
      <c r="G144" s="18"/>
      <c r="H144" s="18"/>
      <c r="I144" s="18"/>
      <c r="J144" s="29"/>
      <c r="K144" s="203"/>
    </row>
    <row r="145" spans="1:11" ht="13.2">
      <c r="A145" s="167">
        <f>+A144+1</f>
        <v>23</v>
      </c>
      <c r="B145" s="31" t="s">
        <v>41</v>
      </c>
      <c r="C145" s="29" t="s">
        <v>389</v>
      </c>
      <c r="D145" s="214">
        <f>'5-P3 Support'!E45</f>
        <v>0</v>
      </c>
      <c r="E145" s="18"/>
      <c r="F145" s="18" t="s">
        <v>30</v>
      </c>
      <c r="G145" s="18">
        <f>+G138</f>
        <v>1</v>
      </c>
      <c r="H145" s="18"/>
      <c r="I145" s="18">
        <f>+G145*D145</f>
        <v>0</v>
      </c>
      <c r="J145" s="29"/>
      <c r="K145" s="203"/>
    </row>
    <row r="146" spans="1:11" ht="13.2">
      <c r="A146" s="167">
        <f>+A145+1</f>
        <v>24</v>
      </c>
      <c r="B146" s="31" t="s">
        <v>42</v>
      </c>
      <c r="C146" s="29" t="s">
        <v>390</v>
      </c>
      <c r="D146" s="214">
        <f>'5-P3 Support'!F45</f>
        <v>0</v>
      </c>
      <c r="E146" s="18"/>
      <c r="F146" s="18" t="s">
        <v>30</v>
      </c>
      <c r="G146" s="18">
        <f>+G145</f>
        <v>1</v>
      </c>
      <c r="H146" s="18"/>
      <c r="I146" s="18">
        <f>+G146*D146</f>
        <v>0</v>
      </c>
      <c r="J146" s="29"/>
      <c r="K146" s="203"/>
    </row>
    <row r="147" spans="1:11" ht="13.2">
      <c r="A147" s="167">
        <f>+A146+1</f>
        <v>25</v>
      </c>
      <c r="B147" s="31" t="s">
        <v>43</v>
      </c>
      <c r="C147" s="29" t="s">
        <v>8</v>
      </c>
      <c r="D147" s="18"/>
      <c r="E147" s="18"/>
      <c r="F147" s="18"/>
      <c r="G147" s="18"/>
      <c r="H147" s="18"/>
      <c r="I147" s="18"/>
      <c r="J147" s="29"/>
      <c r="K147" s="203"/>
    </row>
    <row r="148" spans="1:11" ht="13.2">
      <c r="A148" s="167">
        <f>+A147+1</f>
        <v>26</v>
      </c>
      <c r="B148" s="31" t="s">
        <v>44</v>
      </c>
      <c r="C148" s="29" t="s">
        <v>391</v>
      </c>
      <c r="D148" s="214">
        <f>'5-P3 Support'!G45</f>
        <v>1431.3251070522319</v>
      </c>
      <c r="E148" s="18"/>
      <c r="F148" s="18" t="s">
        <v>35</v>
      </c>
      <c r="G148" s="18">
        <f>+G68</f>
        <v>1</v>
      </c>
      <c r="H148" s="18"/>
      <c r="I148" s="18">
        <f>+G148*D148</f>
        <v>1431.3251070522319</v>
      </c>
      <c r="J148" s="29"/>
      <c r="K148" s="203"/>
    </row>
    <row r="149" spans="1:11" ht="13.2">
      <c r="A149" s="167">
        <f>+A148+1</f>
        <v>27</v>
      </c>
      <c r="B149" s="31" t="s">
        <v>45</v>
      </c>
      <c r="C149" s="29" t="s">
        <v>392</v>
      </c>
      <c r="D149" s="214">
        <f>'5-P3 Support'!H45</f>
        <v>0</v>
      </c>
      <c r="E149" s="18"/>
      <c r="F149" s="214" t="s">
        <v>28</v>
      </c>
      <c r="G149" s="229" t="s">
        <v>133</v>
      </c>
      <c r="H149" s="18"/>
      <c r="I149" s="18">
        <v>0</v>
      </c>
      <c r="J149" s="29"/>
      <c r="K149" s="203"/>
    </row>
    <row r="150" spans="1:11" ht="13.2">
      <c r="A150" s="167">
        <f>+A149+1</f>
        <v>28</v>
      </c>
      <c r="B150" s="31" t="s">
        <v>46</v>
      </c>
      <c r="C150" s="29" t="s">
        <v>393</v>
      </c>
      <c r="D150" s="214">
        <f>'5-P3 Support'!I45</f>
        <v>0</v>
      </c>
      <c r="E150" s="18"/>
      <c r="F150" s="18" t="s">
        <v>35</v>
      </c>
      <c r="G150" s="18">
        <f>+G148</f>
        <v>1</v>
      </c>
      <c r="H150" s="18"/>
      <c r="I150" s="18">
        <f>+G150*D150</f>
        <v>0</v>
      </c>
      <c r="J150" s="29"/>
      <c r="K150" s="203"/>
    </row>
    <row r="151" spans="1:11" ht="13.8" thickBot="1">
      <c r="A151" s="167">
        <f>+A150+1</f>
        <v>29</v>
      </c>
      <c r="B151" s="31" t="s">
        <v>47</v>
      </c>
      <c r="C151" s="29" t="s">
        <v>659</v>
      </c>
      <c r="D151" s="226">
        <f>'5-P3 Support'!J45</f>
        <v>0</v>
      </c>
      <c r="E151" s="18"/>
      <c r="F151" s="18" t="s">
        <v>35</v>
      </c>
      <c r="G151" s="18">
        <f>+G148</f>
        <v>1</v>
      </c>
      <c r="H151" s="18"/>
      <c r="I151" s="201">
        <f>+G151*D151</f>
        <v>0</v>
      </c>
      <c r="J151" s="29"/>
      <c r="K151" s="203"/>
    </row>
    <row r="152" spans="1:11" ht="13.2">
      <c r="A152" s="167">
        <f>+A151+1</f>
        <v>30</v>
      </c>
      <c r="B152" s="31" t="s">
        <v>277</v>
      </c>
      <c r="C152" s="29" t="s">
        <v>276</v>
      </c>
      <c r="D152" s="18">
        <f>SUM(D145:D151)</f>
        <v>1431.3251070522319</v>
      </c>
      <c r="E152" s="18"/>
      <c r="F152" s="18"/>
      <c r="G152" s="18"/>
      <c r="H152" s="18"/>
      <c r="I152" s="18">
        <f>SUM(I145:I151)</f>
        <v>1431.3251070522319</v>
      </c>
      <c r="J152" s="29"/>
      <c r="K152" s="29"/>
    </row>
    <row r="153" spans="1:12" ht="13.2">
      <c r="A153" s="167"/>
      <c r="B153" s="31"/>
      <c r="C153" s="29"/>
      <c r="D153" s="29"/>
      <c r="E153" s="29"/>
      <c r="F153" s="29"/>
      <c r="G153" s="163"/>
      <c r="H153" s="29"/>
      <c r="I153" s="29"/>
      <c r="J153" s="29"/>
      <c r="L153" s="18"/>
    </row>
    <row r="154" spans="1:12" ht="13.2">
      <c r="A154" s="167">
        <f>+A152+1</f>
        <v>31</v>
      </c>
      <c r="B154" s="31" t="s">
        <v>48</v>
      </c>
      <c r="C154" s="37" t="str">
        <f>"(Note "&amp;A$251&amp;")"</f>
        <v>(Note G)</v>
      </c>
      <c r="D154" s="29"/>
      <c r="E154" s="29"/>
      <c r="F154" s="36"/>
      <c r="G154" s="38"/>
      <c r="H154" s="29"/>
      <c r="I154" s="36"/>
      <c r="J154" s="29"/>
      <c r="L154" s="18"/>
    </row>
    <row r="155" spans="1:12" ht="13.2">
      <c r="A155" s="167">
        <f>+A154+1</f>
        <v>32</v>
      </c>
      <c r="B155" s="39" t="s">
        <v>683</v>
      </c>
      <c r="C155" s="29" t="s">
        <v>317</v>
      </c>
      <c r="D155" s="681">
        <f>IF(D252&gt;0,1-(((1-D253)*(1-D252))/(1-D253*D252*D254)),0)</f>
        <v>0.24870999999999999</v>
      </c>
      <c r="E155" s="29"/>
      <c r="F155" s="36"/>
      <c r="G155" s="38"/>
      <c r="H155" s="29"/>
      <c r="I155" s="36"/>
      <c r="J155" s="29"/>
      <c r="L155" s="18"/>
    </row>
    <row r="156" spans="1:11" ht="13.2">
      <c r="A156" s="167">
        <f>+A155+1</f>
        <v>33</v>
      </c>
      <c r="B156" s="36" t="s">
        <v>49</v>
      </c>
      <c r="C156" s="29" t="s">
        <v>318</v>
      </c>
      <c r="D156" s="681">
        <f>IF(I210&gt;0,(D155/(1-D155))*(1-I210/I213),0)</f>
        <v>0.25667213133679562</v>
      </c>
      <c r="E156" s="29"/>
      <c r="F156" s="36"/>
      <c r="G156" s="38"/>
      <c r="H156" s="29"/>
      <c r="I156" s="36"/>
      <c r="J156" s="29"/>
      <c r="K156" s="36"/>
    </row>
    <row r="157" spans="1:11" ht="13.2">
      <c r="A157" s="167">
        <f>+A156+1</f>
        <v>34</v>
      </c>
      <c r="B157" s="40" t="s">
        <v>319</v>
      </c>
      <c r="C157" s="37" t="s">
        <v>320</v>
      </c>
      <c r="D157" s="29"/>
      <c r="E157" s="29"/>
      <c r="F157" s="36"/>
      <c r="G157" s="38"/>
      <c r="H157" s="29"/>
      <c r="I157" s="36"/>
      <c r="J157" s="29"/>
      <c r="K157" s="36"/>
    </row>
    <row r="158" spans="1:11" ht="13.2">
      <c r="A158" s="167">
        <f>+A157+1</f>
        <v>35</v>
      </c>
      <c r="B158" s="40"/>
      <c r="D158" s="29"/>
      <c r="E158" s="29"/>
      <c r="F158" s="36"/>
      <c r="G158" s="38"/>
      <c r="H158" s="29"/>
      <c r="I158" s="36"/>
      <c r="J158" s="29"/>
      <c r="K158" s="36"/>
    </row>
    <row r="159" spans="1:11" ht="13.2">
      <c r="A159" s="167">
        <f>+A158+1</f>
        <v>36</v>
      </c>
      <c r="B159" s="41" t="str">
        <f>"      1 / (1 - T)  =  (T from line "&amp;A155&amp;")"</f>
        <v xml:space="preserve">      1 / (1 - T)  =  (T from line 32)</v>
      </c>
      <c r="C159" s="37"/>
      <c r="D159" s="681">
        <f>1/(1-D155)</f>
        <v>1.3310439377603855</v>
      </c>
      <c r="E159" s="29"/>
      <c r="F159" s="36"/>
      <c r="G159" s="38"/>
      <c r="H159" s="29"/>
      <c r="I159" s="18"/>
      <c r="J159" s="29"/>
      <c r="K159" s="36"/>
    </row>
    <row r="160" spans="1:11" ht="13.2">
      <c r="A160" s="167">
        <f>+A159+1</f>
        <v>37</v>
      </c>
      <c r="B160" s="40" t="s">
        <v>310</v>
      </c>
      <c r="C160" s="37" t="s">
        <v>395</v>
      </c>
      <c r="D160" s="214">
        <f>-'5-P3 Support'!K45</f>
        <v>0</v>
      </c>
      <c r="E160" s="29"/>
      <c r="F160" s="36"/>
      <c r="G160" s="38"/>
      <c r="H160" s="29"/>
      <c r="I160" s="18"/>
      <c r="J160" s="29"/>
      <c r="K160" s="36"/>
    </row>
    <row r="161" spans="1:11" ht="13.2">
      <c r="A161" s="167">
        <f>+A160+1</f>
        <v>38</v>
      </c>
      <c r="B161" s="40" t="s">
        <v>311</v>
      </c>
      <c r="C161" s="37" t="s">
        <v>394</v>
      </c>
      <c r="D161" s="214">
        <f>-'5-P3 Support'!L45</f>
        <v>0</v>
      </c>
      <c r="E161" s="29"/>
      <c r="F161" s="36"/>
      <c r="G161" s="42"/>
      <c r="H161" s="29"/>
      <c r="I161" s="18"/>
      <c r="J161" s="29"/>
      <c r="K161" s="36"/>
    </row>
    <row r="162" spans="1:11" ht="13.2">
      <c r="A162" s="167">
        <f>+A161+1</f>
        <v>39</v>
      </c>
      <c r="B162" s="40" t="s">
        <v>417</v>
      </c>
      <c r="C162" s="37" t="s">
        <v>426</v>
      </c>
      <c r="D162" s="214">
        <f>+'5-P3 Support'!M45</f>
        <v>-68565.436772799498</v>
      </c>
      <c r="E162" s="29"/>
      <c r="F162" s="36"/>
      <c r="G162" s="38"/>
      <c r="H162" s="29"/>
      <c r="I162" s="18"/>
      <c r="J162" s="29"/>
      <c r="K162" s="36"/>
    </row>
    <row r="163" spans="1:11" ht="13.2">
      <c r="A163" s="167">
        <f>+A162+1</f>
        <v>40</v>
      </c>
      <c r="B163" s="41" t="s">
        <v>312</v>
      </c>
      <c r="C163" s="43" t="s">
        <v>797</v>
      </c>
      <c r="D163" s="383">
        <f>+D156*D170</f>
        <v>5332.754274318273</v>
      </c>
      <c r="E163" s="44"/>
      <c r="F163" s="44" t="s">
        <v>28</v>
      </c>
      <c r="G163" s="45"/>
      <c r="H163" s="44"/>
      <c r="I163" s="383">
        <f>+D156*I170</f>
        <v>5332.754274318273</v>
      </c>
      <c r="J163" s="29"/>
      <c r="K163" s="161" t="s">
        <v>8</v>
      </c>
    </row>
    <row r="164" spans="1:11" ht="13.2">
      <c r="A164" s="167">
        <f>+A163+1</f>
        <v>41</v>
      </c>
      <c r="B164" s="34" t="s">
        <v>313</v>
      </c>
      <c r="C164" s="43" t="s">
        <v>308</v>
      </c>
      <c r="D164" s="383">
        <f>+D$159*D160</f>
        <v>0</v>
      </c>
      <c r="E164" s="44"/>
      <c r="F164" s="46" t="s">
        <v>34</v>
      </c>
      <c r="G164" s="27">
        <f>G84</f>
        <v>1</v>
      </c>
      <c r="H164" s="44"/>
      <c r="I164" s="383">
        <f>+G164*D164</f>
        <v>0</v>
      </c>
      <c r="J164" s="29"/>
      <c r="K164" s="161"/>
    </row>
    <row r="165" spans="1:11" ht="13.2">
      <c r="A165" s="167">
        <f>+A164+1</f>
        <v>42</v>
      </c>
      <c r="B165" s="34" t="s">
        <v>314</v>
      </c>
      <c r="C165" s="43" t="s">
        <v>306</v>
      </c>
      <c r="D165" s="383">
        <f>+D$159*D161</f>
        <v>0</v>
      </c>
      <c r="E165" s="44"/>
      <c r="F165" s="46" t="s">
        <v>34</v>
      </c>
      <c r="G165" s="27">
        <f>G164</f>
        <v>1</v>
      </c>
      <c r="H165" s="44"/>
      <c r="I165" s="383">
        <f>+G165*D165</f>
        <v>0</v>
      </c>
      <c r="J165" s="29"/>
      <c r="K165" s="161"/>
    </row>
    <row r="166" spans="1:11" ht="13.8" thickBot="1">
      <c r="A166" s="167">
        <f>+A165+1</f>
        <v>43</v>
      </c>
      <c r="B166" s="34" t="s">
        <v>137</v>
      </c>
      <c r="C166" s="43" t="s">
        <v>307</v>
      </c>
      <c r="D166" s="384">
        <f>+D$159*D162</f>
        <v>-91263.608956327778</v>
      </c>
      <c r="E166" s="44"/>
      <c r="F166" s="46" t="s">
        <v>34</v>
      </c>
      <c r="G166" s="27">
        <f>G165</f>
        <v>1</v>
      </c>
      <c r="H166" s="44"/>
      <c r="I166" s="384">
        <f>+G166*D166</f>
        <v>-91263.608956327778</v>
      </c>
      <c r="J166" s="29"/>
      <c r="K166" s="161"/>
    </row>
    <row r="167" spans="1:11" ht="13.2">
      <c r="A167" s="167">
        <f>+A166+1</f>
        <v>44</v>
      </c>
      <c r="B167" s="48" t="s">
        <v>315</v>
      </c>
      <c r="C167" s="34" t="s">
        <v>309</v>
      </c>
      <c r="D167" s="229">
        <f>SUM(D163:D166)</f>
        <v>-85930.854682009507</v>
      </c>
      <c r="E167" s="44"/>
      <c r="F167" s="44" t="s">
        <v>8</v>
      </c>
      <c r="G167" s="45" t="s">
        <v>8</v>
      </c>
      <c r="H167" s="44"/>
      <c r="I167" s="229">
        <f>SUM(I163:I166)</f>
        <v>-85930.854682009507</v>
      </c>
      <c r="J167" s="29"/>
      <c r="K167" s="29"/>
    </row>
    <row r="168" spans="1:11" ht="13.2">
      <c r="A168" s="167"/>
      <c r="B168" s="36"/>
      <c r="C168" s="230"/>
      <c r="D168" s="18"/>
      <c r="E168" s="29"/>
      <c r="F168" s="29"/>
      <c r="G168" s="163"/>
      <c r="H168" s="29"/>
      <c r="I168" s="18"/>
      <c r="J168" s="29"/>
      <c r="K168" s="29"/>
    </row>
    <row r="169" spans="1:11" ht="13.2">
      <c r="A169" s="167">
        <f>+A167+1</f>
        <v>45</v>
      </c>
      <c r="B169" s="31" t="s">
        <v>51</v>
      </c>
      <c r="J169" s="29"/>
      <c r="K169" s="36"/>
    </row>
    <row r="170" spans="1:11" ht="13.2">
      <c r="A170" s="167">
        <f>A169+1</f>
        <v>46</v>
      </c>
      <c r="B170" s="232" t="s">
        <v>432</v>
      </c>
      <c r="C170" s="39" t="s">
        <v>316</v>
      </c>
      <c r="D170" s="18">
        <f>+$I213*D106</f>
        <v>20776.522353807206</v>
      </c>
      <c r="E170" s="44"/>
      <c r="F170" s="44" t="s">
        <v>28</v>
      </c>
      <c r="G170" s="231"/>
      <c r="H170" s="44"/>
      <c r="I170" s="18">
        <f>+$I213*I106</f>
        <v>20776.522353807206</v>
      </c>
      <c r="K170" s="203"/>
    </row>
    <row r="171" spans="1:11" ht="13.2">
      <c r="A171" s="167"/>
      <c r="B171" s="31"/>
      <c r="C171" s="36"/>
      <c r="D171" s="42"/>
      <c r="E171" s="44"/>
      <c r="F171" s="44"/>
      <c r="G171" s="231"/>
      <c r="H171" s="44"/>
      <c r="I171" s="42"/>
      <c r="J171" s="29"/>
      <c r="K171" s="203"/>
    </row>
    <row r="172" spans="1:11" ht="13.8" thickBot="1">
      <c r="A172" s="167">
        <f>A170+1</f>
        <v>47</v>
      </c>
      <c r="B172" s="31" t="s">
        <v>322</v>
      </c>
      <c r="C172" s="29" t="s">
        <v>321</v>
      </c>
      <c r="D172" s="233">
        <f>+D170+D167+D152+D141+D134</f>
        <v>428821.87432084989</v>
      </c>
      <c r="E172" s="44"/>
      <c r="F172" s="44"/>
      <c r="G172" s="219"/>
      <c r="H172" s="44"/>
      <c r="I172" s="233">
        <f>+I170+I167+I152+I141+I134</f>
        <v>428821.87432084989</v>
      </c>
      <c r="J172" s="149"/>
      <c r="K172" s="149"/>
    </row>
    <row r="173" spans="1:11" ht="13.8" thickTop="1">
      <c r="A173" s="167"/>
      <c r="B173" s="31"/>
      <c r="C173" s="29"/>
      <c r="D173" s="219"/>
      <c r="E173" s="44"/>
      <c r="F173" s="44"/>
      <c r="G173" s="219"/>
      <c r="H173" s="44"/>
      <c r="I173" s="42"/>
      <c r="J173" s="149"/>
      <c r="K173" s="149"/>
    </row>
    <row r="174" spans="1:11" ht="13.2">
      <c r="A174" s="167"/>
      <c r="B174" s="234"/>
      <c r="C174" s="44"/>
      <c r="D174" s="235"/>
      <c r="E174" s="235"/>
      <c r="F174" s="235"/>
      <c r="G174" s="235"/>
      <c r="H174" s="235"/>
      <c r="I174" s="235"/>
      <c r="J174" s="149"/>
      <c r="K174" s="149"/>
    </row>
    <row r="175" spans="1:11" ht="13.2">
      <c r="A175" s="143"/>
      <c r="B175" s="36"/>
      <c r="C175" s="36"/>
      <c r="D175" s="36"/>
      <c r="E175" s="36"/>
      <c r="F175" s="36"/>
      <c r="G175" s="36"/>
      <c r="H175" s="36"/>
      <c r="I175" s="36"/>
      <c r="J175" s="29"/>
      <c r="K175" s="220" t="s">
        <v>138</v>
      </c>
    </row>
    <row r="176" spans="1:11" ht="13.2">
      <c r="A176" s="143"/>
      <c r="B176" s="36"/>
      <c r="C176" s="36"/>
      <c r="D176" s="36"/>
      <c r="E176" s="36"/>
      <c r="F176" s="36"/>
      <c r="G176" s="36"/>
      <c r="H176" s="36"/>
      <c r="I176" s="36"/>
      <c r="J176" s="29"/>
      <c r="K176" s="29"/>
    </row>
    <row r="177" spans="1:11" ht="13.2">
      <c r="A177" s="143"/>
      <c r="B177" s="31" t="s">
        <v>7</v>
      </c>
      <c r="C177" s="36"/>
      <c r="D177" s="289" t="s">
        <v>89</v>
      </c>
      <c r="E177" s="36"/>
      <c r="F177" s="36"/>
      <c r="G177" s="36"/>
      <c r="H177" s="36"/>
      <c r="I177" s="141"/>
      <c r="J177" s="29"/>
      <c r="K177" s="236" t="str">
        <f>K3</f>
        <v>For  the 12 months ended 12/31/2022</v>
      </c>
    </row>
    <row r="178" spans="1:11" ht="13.2">
      <c r="A178" s="143"/>
      <c r="B178" s="31"/>
      <c r="C178" s="36"/>
      <c r="D178" s="289" t="s">
        <v>118</v>
      </c>
      <c r="E178" s="36"/>
      <c r="F178" s="36"/>
      <c r="G178" s="36"/>
      <c r="H178" s="36"/>
      <c r="I178" s="36"/>
      <c r="J178" s="29"/>
      <c r="K178" s="29"/>
    </row>
    <row r="179" spans="1:11" ht="13.2">
      <c r="A179" s="143"/>
      <c r="B179" s="36"/>
      <c r="C179" s="36"/>
      <c r="D179" s="654" t="str">
        <f>D5</f>
        <v>NextEra Energy Transmission MidAtlantic Indiana, Inc.</v>
      </c>
      <c r="E179" s="36"/>
      <c r="F179" s="36"/>
      <c r="G179" s="36"/>
      <c r="H179" s="36"/>
      <c r="I179" s="36"/>
      <c r="J179" s="29"/>
      <c r="K179" s="29"/>
    </row>
    <row r="180" spans="1:11" ht="13.2">
      <c r="A180" s="742"/>
      <c r="B180" s="742"/>
      <c r="C180" s="742"/>
      <c r="D180" s="742"/>
      <c r="E180" s="742"/>
      <c r="F180" s="742"/>
      <c r="G180" s="742"/>
      <c r="H180" s="742"/>
      <c r="I180" s="742"/>
      <c r="J180" s="742"/>
      <c r="K180" s="742"/>
    </row>
    <row r="181" spans="1:11" s="14" customFormat="1" ht="13.2">
      <c r="A181" s="237"/>
      <c r="B181" s="153" t="s">
        <v>9</v>
      </c>
      <c r="C181" s="153" t="s">
        <v>10</v>
      </c>
      <c r="D181" s="153" t="s">
        <v>11</v>
      </c>
      <c r="E181" s="29" t="s">
        <v>8</v>
      </c>
      <c r="F181" s="29"/>
      <c r="G181" s="152" t="s">
        <v>12</v>
      </c>
      <c r="H181" s="29"/>
      <c r="I181" s="152" t="s">
        <v>13</v>
      </c>
      <c r="J181" s="125"/>
      <c r="K181" s="125"/>
    </row>
    <row r="182" spans="1:11" ht="13.2">
      <c r="A182" s="143"/>
      <c r="B182" s="36"/>
      <c r="C182" s="31"/>
      <c r="D182" s="31"/>
      <c r="E182" s="31"/>
      <c r="F182" s="31"/>
      <c r="G182" s="31"/>
      <c r="H182" s="31"/>
      <c r="I182" s="31"/>
      <c r="J182" s="31"/>
      <c r="K182" s="31"/>
    </row>
    <row r="183" spans="1:11" ht="13.2">
      <c r="A183" s="143"/>
      <c r="B183" s="36"/>
      <c r="C183" s="197" t="s">
        <v>52</v>
      </c>
      <c r="D183" s="36"/>
      <c r="E183" s="149"/>
      <c r="F183" s="149"/>
      <c r="G183" s="149"/>
      <c r="H183" s="149"/>
      <c r="I183" s="149"/>
      <c r="J183" s="29"/>
      <c r="K183" s="29"/>
    </row>
    <row r="184" spans="1:11" ht="13.2">
      <c r="A184" s="143" t="s">
        <v>14</v>
      </c>
      <c r="B184" s="197"/>
      <c r="C184" s="149"/>
      <c r="D184" s="149"/>
      <c r="E184" s="149"/>
      <c r="F184" s="149"/>
      <c r="G184" s="149"/>
      <c r="H184" s="149"/>
      <c r="I184" s="149"/>
      <c r="J184" s="29"/>
      <c r="K184" s="29"/>
    </row>
    <row r="185" spans="1:11" ht="13.8" thickBot="1">
      <c r="A185" s="33" t="s">
        <v>16</v>
      </c>
      <c r="B185" s="144" t="s">
        <v>53</v>
      </c>
      <c r="C185" s="157"/>
      <c r="D185" s="157"/>
      <c r="E185" s="157"/>
      <c r="F185" s="157"/>
      <c r="G185" s="157"/>
      <c r="H185" s="34"/>
      <c r="I185" s="34"/>
      <c r="J185" s="37"/>
      <c r="K185" s="29"/>
    </row>
    <row r="186" spans="1:11" ht="13.2">
      <c r="A186" s="143">
        <v>1</v>
      </c>
      <c r="B186" s="145" t="s">
        <v>296</v>
      </c>
      <c r="C186" s="157" t="s">
        <v>444</v>
      </c>
      <c r="D186" s="37"/>
      <c r="E186" s="37"/>
      <c r="F186" s="37"/>
      <c r="G186" s="37"/>
      <c r="H186" s="37"/>
      <c r="I186" s="214">
        <f>D64</f>
        <v>2486171.48</v>
      </c>
      <c r="J186" s="37"/>
      <c r="K186" s="29"/>
    </row>
    <row r="187" spans="1:11" ht="13.2">
      <c r="A187" s="143">
        <f>+A186+1</f>
        <v>2</v>
      </c>
      <c r="B187" s="145" t="s">
        <v>297</v>
      </c>
      <c r="C187" s="34" t="s">
        <v>294</v>
      </c>
      <c r="D187" s="34"/>
      <c r="E187" s="34"/>
      <c r="F187" s="34"/>
      <c r="G187" s="34"/>
      <c r="H187" s="34"/>
      <c r="I187" s="198">
        <v>0</v>
      </c>
      <c r="J187" s="37"/>
      <c r="K187" s="29"/>
    </row>
    <row r="188" spans="1:11" ht="13.8" thickBot="1">
      <c r="A188" s="143">
        <f>+A187+1</f>
        <v>3</v>
      </c>
      <c r="B188" s="238" t="s">
        <v>298</v>
      </c>
      <c r="C188" s="239" t="s">
        <v>295</v>
      </c>
      <c r="D188" s="141"/>
      <c r="E188" s="37"/>
      <c r="F188" s="37"/>
      <c r="G188" s="240"/>
      <c r="H188" s="37"/>
      <c r="I188" s="200">
        <v>0</v>
      </c>
      <c r="J188" s="37"/>
      <c r="K188" s="29"/>
    </row>
    <row r="189" spans="1:11" ht="13.2">
      <c r="A189" s="143">
        <f t="shared" si="3" ref="A189:A220">+A188+1</f>
        <v>4</v>
      </c>
      <c r="B189" s="145" t="s">
        <v>300</v>
      </c>
      <c r="C189" s="157" t="s">
        <v>299</v>
      </c>
      <c r="D189" s="37"/>
      <c r="E189" s="37"/>
      <c r="F189" s="37"/>
      <c r="G189" s="240"/>
      <c r="H189" s="37"/>
      <c r="I189" s="214">
        <f>I186-I187-I188</f>
        <v>2486171.48</v>
      </c>
      <c r="J189" s="37"/>
      <c r="K189" s="29"/>
    </row>
    <row r="190" spans="1:11" ht="13.2">
      <c r="A190" s="143"/>
      <c r="B190" s="34"/>
      <c r="C190" s="157"/>
      <c r="D190" s="37"/>
      <c r="E190" s="37"/>
      <c r="F190" s="37"/>
      <c r="G190" s="240"/>
      <c r="H190" s="37"/>
      <c r="I190" s="214"/>
      <c r="J190" s="37"/>
      <c r="K190" s="29"/>
    </row>
    <row r="191" spans="1:11" ht="13.2">
      <c r="A191" s="143">
        <f>+A189+1</f>
        <v>5</v>
      </c>
      <c r="B191" s="145" t="s">
        <v>302</v>
      </c>
      <c r="C191" s="241" t="s">
        <v>301</v>
      </c>
      <c r="D191" s="242"/>
      <c r="E191" s="242"/>
      <c r="F191" s="242"/>
      <c r="G191" s="243"/>
      <c r="H191" s="37" t="s">
        <v>54</v>
      </c>
      <c r="I191" s="244">
        <f>IF(I186&gt;0,I189/I186,0)</f>
        <v>1</v>
      </c>
      <c r="J191" s="37"/>
      <c r="K191" s="29"/>
    </row>
    <row r="192" spans="1:11" ht="13.2">
      <c r="A192" s="143"/>
      <c r="B192" s="36"/>
      <c r="C192" s="36"/>
      <c r="D192" s="36"/>
      <c r="E192" s="36"/>
      <c r="F192" s="36"/>
      <c r="G192" s="36"/>
      <c r="H192" s="36"/>
      <c r="I192" s="36"/>
      <c r="J192" s="36"/>
      <c r="K192" s="36"/>
    </row>
    <row r="193" spans="1:11" ht="13.2">
      <c r="A193" s="143">
        <f>+A191+1</f>
        <v>6</v>
      </c>
      <c r="B193" s="31" t="s">
        <v>139</v>
      </c>
      <c r="C193" s="29"/>
      <c r="D193" s="29"/>
      <c r="E193" s="29"/>
      <c r="F193" s="29"/>
      <c r="G193" s="29"/>
      <c r="H193" s="29"/>
      <c r="I193" s="29"/>
      <c r="J193" s="29"/>
      <c r="K193" s="29"/>
    </row>
    <row r="194" spans="1:11" ht="13.8" thickBot="1">
      <c r="A194" s="143"/>
      <c r="B194" s="31"/>
      <c r="C194" s="245" t="s">
        <v>55</v>
      </c>
      <c r="D194" s="30" t="s">
        <v>56</v>
      </c>
      <c r="E194" s="30" t="s">
        <v>21</v>
      </c>
      <c r="F194" s="29"/>
      <c r="G194" s="30" t="s">
        <v>57</v>
      </c>
      <c r="H194" s="29"/>
      <c r="I194" s="29"/>
      <c r="J194" s="29"/>
      <c r="K194" s="29"/>
    </row>
    <row r="195" spans="1:11" ht="13.2">
      <c r="A195" s="143">
        <f>+A193+1</f>
        <v>7</v>
      </c>
      <c r="B195" s="31" t="s">
        <v>367</v>
      </c>
      <c r="C195" s="29" t="s">
        <v>58</v>
      </c>
      <c r="D195" s="198">
        <v>0</v>
      </c>
      <c r="E195" s="246">
        <v>1</v>
      </c>
      <c r="F195" s="247"/>
      <c r="G195" s="18">
        <f>D195*E195</f>
        <v>0</v>
      </c>
      <c r="H195" s="44"/>
      <c r="I195" s="44"/>
      <c r="J195" s="29"/>
      <c r="K195" s="29"/>
    </row>
    <row r="196" spans="1:11" ht="13.2">
      <c r="A196" s="143">
        <f>+A195+1</f>
        <v>8</v>
      </c>
      <c r="B196" s="31" t="s">
        <v>29</v>
      </c>
      <c r="C196" s="29" t="s">
        <v>396</v>
      </c>
      <c r="D196" s="198">
        <v>0</v>
      </c>
      <c r="E196" s="246">
        <f>+I191</f>
        <v>1</v>
      </c>
      <c r="F196" s="247"/>
      <c r="G196" s="18">
        <f>D196*E196</f>
        <v>0</v>
      </c>
      <c r="H196" s="44"/>
      <c r="I196" s="44"/>
      <c r="J196" s="29"/>
      <c r="K196" s="29"/>
    </row>
    <row r="197" spans="1:11" ht="13.2">
      <c r="A197" s="143">
        <f>+A196+1</f>
        <v>9</v>
      </c>
      <c r="B197" s="31" t="s">
        <v>368</v>
      </c>
      <c r="C197" s="29" t="s">
        <v>113</v>
      </c>
      <c r="D197" s="198">
        <v>0</v>
      </c>
      <c r="E197" s="246">
        <v>1</v>
      </c>
      <c r="F197" s="247"/>
      <c r="G197" s="18">
        <f>D197*E197</f>
        <v>0</v>
      </c>
      <c r="H197" s="44"/>
      <c r="I197" s="248" t="s">
        <v>59</v>
      </c>
      <c r="J197" s="29"/>
      <c r="K197" s="29"/>
    </row>
    <row r="198" spans="1:11" ht="13.8" thickBot="1">
      <c r="A198" s="143">
        <f>+A197+1</f>
        <v>10</v>
      </c>
      <c r="B198" s="31" t="s">
        <v>60</v>
      </c>
      <c r="C198" s="29" t="s">
        <v>397</v>
      </c>
      <c r="D198" s="200">
        <v>0</v>
      </c>
      <c r="E198" s="246">
        <v>1</v>
      </c>
      <c r="F198" s="247"/>
      <c r="G198" s="201">
        <f>D198*E198</f>
        <v>0</v>
      </c>
      <c r="H198" s="44"/>
      <c r="I198" s="249" t="s">
        <v>61</v>
      </c>
      <c r="J198" s="29"/>
      <c r="K198" s="29"/>
    </row>
    <row r="199" spans="1:11" ht="13.2">
      <c r="A199" s="143">
        <f>+A198+1</f>
        <v>11</v>
      </c>
      <c r="B199" s="40" t="s">
        <v>583</v>
      </c>
      <c r="C199" s="29" t="s">
        <v>304</v>
      </c>
      <c r="D199" s="18">
        <f>SUM(D195:D198)</f>
        <v>0</v>
      </c>
      <c r="E199" s="29"/>
      <c r="F199" s="29"/>
      <c r="G199" s="18">
        <f>SUM(G195:G198)</f>
        <v>0</v>
      </c>
      <c r="H199" s="250" t="s">
        <v>62</v>
      </c>
      <c r="I199" s="206">
        <v>1</v>
      </c>
      <c r="J199" s="32" t="s">
        <v>62</v>
      </c>
      <c r="K199" s="29" t="s">
        <v>63</v>
      </c>
    </row>
    <row r="200" spans="1:11" ht="13.2">
      <c r="A200" s="143"/>
      <c r="B200" s="31" t="s">
        <v>8</v>
      </c>
      <c r="C200" s="29" t="s">
        <v>8</v>
      </c>
      <c r="D200" s="36"/>
      <c r="E200" s="29"/>
      <c r="F200" s="29"/>
      <c r="G200" s="36"/>
      <c r="H200" s="36"/>
      <c r="I200" s="36"/>
      <c r="J200" s="36"/>
      <c r="K200" s="29"/>
    </row>
    <row r="201" spans="1:11" ht="13.2">
      <c r="A201" s="143">
        <f>+A199+1</f>
        <v>12</v>
      </c>
      <c r="B201" s="40" t="s">
        <v>498</v>
      </c>
      <c r="C201" s="29"/>
      <c r="D201" s="193" t="s">
        <v>56</v>
      </c>
      <c r="E201" s="29"/>
      <c r="F201" s="29"/>
      <c r="G201" s="32" t="s">
        <v>140</v>
      </c>
      <c r="H201" s="38"/>
      <c r="I201" s="203" t="s">
        <v>59</v>
      </c>
      <c r="J201" s="29"/>
      <c r="K201" s="29"/>
    </row>
    <row r="202" spans="1:11" ht="13.2">
      <c r="A202" s="143">
        <f>+A201+1</f>
        <v>13</v>
      </c>
      <c r="B202" s="31" t="s">
        <v>398</v>
      </c>
      <c r="C202" s="29" t="s">
        <v>141</v>
      </c>
      <c r="D202" s="198">
        <f>+D80</f>
        <v>322079.70988596091</v>
      </c>
      <c r="E202" s="29"/>
      <c r="F202" s="36"/>
      <c r="G202" s="143" t="s">
        <v>559</v>
      </c>
      <c r="H202" s="251"/>
      <c r="I202" s="143" t="s">
        <v>560</v>
      </c>
      <c r="J202" s="29"/>
      <c r="K202" s="153" t="s">
        <v>132</v>
      </c>
    </row>
    <row r="203" spans="1:11" ht="13.2">
      <c r="A203" s="143">
        <f>+A202+1</f>
        <v>14</v>
      </c>
      <c r="B203" s="31" t="s">
        <v>399</v>
      </c>
      <c r="C203" s="29" t="s">
        <v>660</v>
      </c>
      <c r="D203" s="198">
        <v>0</v>
      </c>
      <c r="E203" s="29"/>
      <c r="F203" s="36"/>
      <c r="G203" s="206">
        <f>IF(D205&gt;0,D202/D205,0)</f>
        <v>1</v>
      </c>
      <c r="H203" s="252" t="s">
        <v>123</v>
      </c>
      <c r="I203" s="206">
        <f>I199</f>
        <v>1</v>
      </c>
      <c r="J203" s="252" t="s">
        <v>62</v>
      </c>
      <c r="K203" s="206">
        <f>I203*G203</f>
        <v>1</v>
      </c>
    </row>
    <row r="204" spans="1:11" ht="13.8" thickBot="1">
      <c r="A204" s="143">
        <f>+A203+1</f>
        <v>15</v>
      </c>
      <c r="B204" s="253" t="s">
        <v>400</v>
      </c>
      <c r="C204" s="245" t="s">
        <v>661</v>
      </c>
      <c r="D204" s="200">
        <v>0</v>
      </c>
      <c r="E204" s="29"/>
      <c r="F204" s="29"/>
      <c r="G204" s="29" t="s">
        <v>8</v>
      </c>
      <c r="H204" s="29"/>
      <c r="I204" s="29"/>
      <c r="J204" s="29"/>
      <c r="K204" s="29"/>
    </row>
    <row r="205" spans="1:11" ht="13.2">
      <c r="A205" s="143">
        <f>+A204+1</f>
        <v>16</v>
      </c>
      <c r="B205" s="31" t="s">
        <v>401</v>
      </c>
      <c r="C205" s="29" t="s">
        <v>303</v>
      </c>
      <c r="D205" s="18">
        <f>D202+D203+D204</f>
        <v>322079.70988596091</v>
      </c>
      <c r="E205" s="29"/>
      <c r="F205" s="29"/>
      <c r="G205" s="29"/>
      <c r="H205" s="29"/>
      <c r="I205" s="29"/>
      <c r="J205" s="29"/>
      <c r="K205" s="29"/>
    </row>
    <row r="206" spans="1:11" ht="13.2">
      <c r="A206" s="143"/>
      <c r="B206" s="31"/>
      <c r="C206" s="29"/>
      <c r="D206" s="36"/>
      <c r="E206" s="29"/>
      <c r="F206" s="29"/>
      <c r="G206" s="29"/>
      <c r="H206" s="29"/>
      <c r="I206" s="29"/>
      <c r="J206" s="29"/>
      <c r="K206" s="29"/>
    </row>
    <row r="207" spans="1:11" ht="13.8" thickBot="1">
      <c r="A207" s="143">
        <f>+A205+1</f>
        <v>17</v>
      </c>
      <c r="B207" s="28" t="s">
        <v>64</v>
      </c>
      <c r="C207" s="29" t="s">
        <v>351</v>
      </c>
      <c r="D207" s="29"/>
      <c r="E207" s="29"/>
      <c r="F207" s="29"/>
      <c r="G207" s="29"/>
      <c r="H207" s="29"/>
      <c r="I207" s="30" t="s">
        <v>56</v>
      </c>
      <c r="J207" s="29"/>
      <c r="K207" s="29"/>
    </row>
    <row r="208" spans="1:11" ht="13.2">
      <c r="A208" s="143">
        <f>+A207+1</f>
        <v>18</v>
      </c>
      <c r="B208" s="31"/>
      <c r="C208" s="29"/>
      <c r="D208" s="29"/>
      <c r="E208" s="29"/>
      <c r="F208" s="29"/>
      <c r="G208" s="32" t="s">
        <v>65</v>
      </c>
      <c r="H208" s="29"/>
      <c r="I208" s="29"/>
      <c r="J208" s="29"/>
      <c r="K208" s="29"/>
    </row>
    <row r="209" spans="1:11" ht="13.8" thickBot="1">
      <c r="A209" s="143">
        <f>+A208+1</f>
        <v>19</v>
      </c>
      <c r="B209" s="31"/>
      <c r="C209" s="29"/>
      <c r="D209" s="33" t="s">
        <v>56</v>
      </c>
      <c r="E209" s="33" t="s">
        <v>66</v>
      </c>
      <c r="F209" s="29"/>
      <c r="G209" s="254" t="str">
        <f>"(Notes "&amp;A259&amp;", "&amp;A265&amp;", &amp; "&amp;A266&amp;")"</f>
        <v>(Notes K, Q, &amp; R)</v>
      </c>
      <c r="H209" s="29"/>
      <c r="I209" s="33" t="s">
        <v>67</v>
      </c>
      <c r="J209" s="29"/>
      <c r="K209" s="29"/>
    </row>
    <row r="210" spans="1:11" ht="13.2">
      <c r="A210" s="143">
        <f>+A209+1</f>
        <v>20</v>
      </c>
      <c r="B210" s="28" t="s">
        <v>305</v>
      </c>
      <c r="C210" s="34" t="s">
        <v>809</v>
      </c>
      <c r="D210" s="256">
        <f>'5-P3 Support'!F85</f>
        <v>7087604</v>
      </c>
      <c r="E210" s="606">
        <f>+'5-P3 Support'!G85</f>
        <v>0.3998149962580122</v>
      </c>
      <c r="F210" s="159"/>
      <c r="G210" s="635">
        <f>+'5-P3 Support'!I85</f>
        <v>0.043931602708803613</v>
      </c>
      <c r="H210" s="291"/>
      <c r="I210" s="606">
        <f>+'5-P3 Support'!K85</f>
        <v>0.017564513572628795</v>
      </c>
      <c r="J210" s="255" t="s">
        <v>68</v>
      </c>
      <c r="K210" s="36"/>
    </row>
    <row r="211" spans="1:11" ht="13.2">
      <c r="A211" s="143">
        <f>+A210+1</f>
        <v>21</v>
      </c>
      <c r="B211" s="28" t="s">
        <v>142</v>
      </c>
      <c r="C211" s="34" t="s">
        <v>810</v>
      </c>
      <c r="D211" s="256">
        <f>+'5-P3 Support'!F86</f>
        <v>0</v>
      </c>
      <c r="E211" s="606">
        <f>+'5-P3 Support'!G86</f>
        <v>0</v>
      </c>
      <c r="F211" s="159"/>
      <c r="G211" s="635">
        <f>+'5-P3 Support'!I86</f>
        <v>0</v>
      </c>
      <c r="H211" s="291"/>
      <c r="I211" s="606">
        <f>+'5-P3 Support'!K86</f>
        <v>0</v>
      </c>
      <c r="J211" s="29"/>
      <c r="K211" s="36"/>
    </row>
    <row r="212" spans="1:11" ht="13.8" thickBot="1">
      <c r="A212" s="143">
        <f>+A211+1</f>
        <v>22</v>
      </c>
      <c r="B212" s="28" t="s">
        <v>414</v>
      </c>
      <c r="C212" s="34" t="s">
        <v>811</v>
      </c>
      <c r="D212" s="426">
        <f>+'5-P3 Support'!F87</f>
        <v>10639605</v>
      </c>
      <c r="E212" s="607">
        <f>+'5-P3 Support'!G87</f>
        <v>0.6001850037419878</v>
      </c>
      <c r="F212" s="605"/>
      <c r="G212" s="634">
        <f>+'5-P3 Support'!I87</f>
        <v>0.10100000000000001</v>
      </c>
      <c r="H212" s="291"/>
      <c r="I212" s="607">
        <f>+'5-P3 Support'!K87</f>
        <v>0.060618685377940774</v>
      </c>
      <c r="J212" s="29"/>
      <c r="K212" s="36"/>
    </row>
    <row r="213" spans="1:11" ht="13.2">
      <c r="A213" s="143">
        <f>+A212+1</f>
        <v>23</v>
      </c>
      <c r="B213" s="31" t="s">
        <v>293</v>
      </c>
      <c r="C213" s="36" t="s">
        <v>812</v>
      </c>
      <c r="D213" s="256">
        <f>+'5-P3 Support'!F88</f>
        <v>17727209</v>
      </c>
      <c r="E213" s="29" t="s">
        <v>8</v>
      </c>
      <c r="F213" s="29"/>
      <c r="G213" s="291"/>
      <c r="H213" s="291"/>
      <c r="I213" s="606">
        <f>+'5-P3 Support'!K88</f>
        <v>0.078183198950569577</v>
      </c>
      <c r="J213" s="255" t="s">
        <v>69</v>
      </c>
      <c r="K213" s="36"/>
    </row>
    <row r="214" spans="1:11" ht="13.2">
      <c r="A214" s="143"/>
      <c r="B214" s="36"/>
      <c r="C214" s="36"/>
      <c r="D214" s="36"/>
      <c r="E214" s="29"/>
      <c r="F214" s="29"/>
      <c r="G214" s="29"/>
      <c r="H214" s="29"/>
      <c r="I214" s="291"/>
      <c r="J214" s="36"/>
      <c r="K214" s="36"/>
    </row>
    <row r="215" spans="1:11" ht="13.2">
      <c r="A215" s="143">
        <f>+A213+1</f>
        <v>24</v>
      </c>
      <c r="B215" s="28" t="s">
        <v>143</v>
      </c>
      <c r="C215" s="148"/>
      <c r="D215" s="148"/>
      <c r="E215" s="148"/>
      <c r="F215" s="148"/>
      <c r="G215" s="148"/>
      <c r="H215" s="148"/>
      <c r="I215" s="148"/>
      <c r="J215" s="148"/>
      <c r="K215" s="148"/>
    </row>
    <row r="216" spans="1:11" ht="13.8" thickBot="1">
      <c r="A216" s="143"/>
      <c r="B216" s="28"/>
      <c r="C216" s="28"/>
      <c r="D216" s="28"/>
      <c r="E216" s="28"/>
      <c r="F216" s="28"/>
      <c r="G216" s="28"/>
      <c r="H216" s="28"/>
      <c r="I216" s="33"/>
      <c r="J216" s="257"/>
      <c r="K216" s="36"/>
    </row>
    <row r="217" spans="1:11" ht="13.2">
      <c r="A217" s="143">
        <f>+A215+1</f>
        <v>25</v>
      </c>
      <c r="B217" s="28" t="s">
        <v>561</v>
      </c>
      <c r="C217" s="148" t="s">
        <v>425</v>
      </c>
      <c r="D217" s="148"/>
      <c r="E217" s="148"/>
      <c r="F217" s="148"/>
      <c r="G217" s="258" t="s">
        <v>8</v>
      </c>
      <c r="H217" s="259"/>
      <c r="I217" s="260"/>
      <c r="J217" s="260"/>
      <c r="K217" s="36"/>
    </row>
    <row r="218" spans="1:11" ht="13.2">
      <c r="A218" s="143">
        <f>+A217+1</f>
        <v>26</v>
      </c>
      <c r="B218" s="36" t="s">
        <v>325</v>
      </c>
      <c r="C218" s="148" t="s">
        <v>402</v>
      </c>
      <c r="D218" s="148"/>
      <c r="E218" s="36"/>
      <c r="F218" s="148"/>
      <c r="G218" s="36"/>
      <c r="H218" s="259"/>
      <c r="I218" s="261">
        <v>0</v>
      </c>
      <c r="J218" s="262"/>
      <c r="K218" s="36"/>
    </row>
    <row r="219" spans="1:11" ht="13.8" thickBot="1">
      <c r="A219" s="143">
        <f>+A218+1</f>
        <v>27</v>
      </c>
      <c r="B219" s="263" t="s">
        <v>1</v>
      </c>
      <c r="C219" s="37" t="s">
        <v>813</v>
      </c>
      <c r="D219" s="264"/>
      <c r="E219" s="265"/>
      <c r="F219" s="265"/>
      <c r="G219" s="265"/>
      <c r="H219" s="148"/>
      <c r="I219" s="395">
        <f>+'5-P3 Support'!C68</f>
        <v>0</v>
      </c>
      <c r="J219" s="266"/>
      <c r="K219" s="36"/>
    </row>
    <row r="220" spans="1:11" ht="13.2">
      <c r="A220" s="143">
        <f>+A219+1</f>
        <v>28</v>
      </c>
      <c r="B220" s="36" t="s">
        <v>144</v>
      </c>
      <c r="C220" s="157"/>
      <c r="D220" s="36"/>
      <c r="E220" s="148"/>
      <c r="F220" s="148"/>
      <c r="G220" s="148"/>
      <c r="H220" s="148"/>
      <c r="I220" s="267">
        <f>I218-I219</f>
        <v>0</v>
      </c>
      <c r="J220" s="262"/>
      <c r="K220" s="36"/>
    </row>
    <row r="221" spans="1:11" ht="13.2">
      <c r="A221" s="143"/>
      <c r="B221" s="36"/>
      <c r="C221" s="157"/>
      <c r="D221" s="36"/>
      <c r="E221" s="148"/>
      <c r="F221" s="148"/>
      <c r="G221" s="148"/>
      <c r="H221" s="148"/>
      <c r="I221" s="268"/>
      <c r="J221" s="260"/>
      <c r="K221" s="36"/>
    </row>
    <row r="222" spans="1:11" ht="13.2">
      <c r="A222" s="143">
        <f>+A220+1</f>
        <v>29</v>
      </c>
      <c r="B222" s="28" t="s">
        <v>264</v>
      </c>
      <c r="C222" s="157" t="s">
        <v>814</v>
      </c>
      <c r="D222" s="36"/>
      <c r="E222" s="148"/>
      <c r="F222" s="148"/>
      <c r="G222" s="269"/>
      <c r="H222" s="148"/>
      <c r="I222" s="270">
        <f>+'5-P3 Support'!D68</f>
        <v>0</v>
      </c>
      <c r="J222" s="260"/>
      <c r="K222" s="271"/>
    </row>
    <row r="223" spans="1:11" ht="13.2">
      <c r="A223" s="143"/>
      <c r="B223" s="36"/>
      <c r="C223" s="145"/>
      <c r="D223" s="148"/>
      <c r="E223" s="148"/>
      <c r="F223" s="148"/>
      <c r="G223" s="148"/>
      <c r="H223" s="148"/>
      <c r="I223" s="268"/>
      <c r="J223" s="260"/>
      <c r="K223" s="271"/>
    </row>
    <row r="224" spans="1:11" ht="13.2">
      <c r="A224" s="143">
        <f>+A222+1</f>
        <v>30</v>
      </c>
      <c r="B224" s="28" t="s">
        <v>265</v>
      </c>
      <c r="C224" s="145" t="s">
        <v>584</v>
      </c>
      <c r="D224" s="148"/>
      <c r="E224" s="148"/>
      <c r="F224" s="148"/>
      <c r="G224" s="148"/>
      <c r="H224" s="148"/>
      <c r="I224" s="36"/>
      <c r="J224" s="36"/>
      <c r="K224" s="272"/>
    </row>
    <row r="225" spans="1:11" ht="13.2">
      <c r="A225" s="143">
        <f>+A224+1</f>
        <v>31</v>
      </c>
      <c r="B225" s="273" t="s">
        <v>324</v>
      </c>
      <c r="C225" s="37" t="s">
        <v>815</v>
      </c>
      <c r="D225" s="29"/>
      <c r="E225" s="29"/>
      <c r="F225" s="29"/>
      <c r="G225" s="29"/>
      <c r="H225" s="29"/>
      <c r="I225" s="274">
        <f>+'5-P3 Support'!E68</f>
        <v>0</v>
      </c>
      <c r="J225" s="275"/>
      <c r="K225" s="272"/>
    </row>
    <row r="226" spans="1:11" ht="27" thickBot="1">
      <c r="A226" s="143">
        <f>+A225+1</f>
        <v>32</v>
      </c>
      <c r="B226" s="276" t="s">
        <v>323</v>
      </c>
      <c r="C226" s="37" t="s">
        <v>816</v>
      </c>
      <c r="D226" s="265"/>
      <c r="E226" s="265"/>
      <c r="F226" s="265"/>
      <c r="G226" s="148"/>
      <c r="H226" s="148"/>
      <c r="I226" s="396">
        <f>+'5-P3 Support'!F68</f>
        <v>0</v>
      </c>
      <c r="J226" s="36"/>
      <c r="K226" s="277"/>
    </row>
    <row r="227" spans="1:11" ht="13.2">
      <c r="A227" s="143">
        <f>+A226+1</f>
        <v>33</v>
      </c>
      <c r="B227" s="46" t="s">
        <v>144</v>
      </c>
      <c r="C227" s="143"/>
      <c r="D227" s="29"/>
      <c r="E227" s="29"/>
      <c r="F227" s="29"/>
      <c r="G227" s="29"/>
      <c r="H227" s="148"/>
      <c r="I227" s="278">
        <f>+I225-I226</f>
        <v>0</v>
      </c>
      <c r="J227" s="275"/>
      <c r="K227" s="279"/>
    </row>
    <row r="228" spans="1:11" s="564" customFormat="1" ht="13.2">
      <c r="A228" s="143"/>
      <c r="B228" s="46"/>
      <c r="C228" s="143"/>
      <c r="D228" s="29"/>
      <c r="E228" s="29"/>
      <c r="F228" s="29"/>
      <c r="G228" s="29"/>
      <c r="H228" s="148"/>
      <c r="I228" s="278"/>
      <c r="J228" s="275"/>
      <c r="K228" s="279"/>
    </row>
    <row r="229" spans="1:11" s="564" customFormat="1" ht="13.2">
      <c r="A229" s="143"/>
      <c r="D229" s="29"/>
      <c r="E229" s="29"/>
      <c r="F229" s="29"/>
      <c r="G229" s="29"/>
      <c r="H229" s="148"/>
      <c r="I229" s="278"/>
      <c r="J229" s="275"/>
      <c r="K229" s="279"/>
    </row>
    <row r="230" spans="1:11" s="564" customFormat="1" ht="13.2">
      <c r="A230" s="143"/>
      <c r="B230" s="46"/>
      <c r="C230" s="143"/>
      <c r="D230" s="29"/>
      <c r="E230" s="29"/>
      <c r="F230" s="29"/>
      <c r="G230" s="29"/>
      <c r="H230" s="148"/>
      <c r="I230" s="278"/>
      <c r="J230" s="275"/>
      <c r="K230" s="279"/>
    </row>
    <row r="231" spans="1:11" s="564" customFormat="1" ht="13.2">
      <c r="A231" s="143"/>
      <c r="B231" s="46"/>
      <c r="C231" s="143"/>
      <c r="D231" s="29"/>
      <c r="E231" s="29"/>
      <c r="F231" s="29"/>
      <c r="G231" s="29"/>
      <c r="H231" s="148"/>
      <c r="I231" s="278"/>
      <c r="J231" s="275"/>
      <c r="K231" s="279"/>
    </row>
    <row r="232" spans="1:11" ht="13.2">
      <c r="A232" s="143"/>
      <c r="B232" s="280"/>
      <c r="C232" s="143"/>
      <c r="D232" s="29"/>
      <c r="E232" s="29"/>
      <c r="F232" s="29"/>
      <c r="G232" s="29"/>
      <c r="H232" s="148"/>
      <c r="I232" s="281"/>
      <c r="J232" s="275"/>
      <c r="K232" s="279"/>
    </row>
    <row r="233" spans="1:11" ht="13.2">
      <c r="A233" s="143"/>
      <c r="B233" s="280"/>
      <c r="C233" s="143"/>
      <c r="D233" s="29"/>
      <c r="E233" s="29"/>
      <c r="F233" s="29"/>
      <c r="G233" s="29"/>
      <c r="H233" s="148"/>
      <c r="I233" s="281"/>
      <c r="J233" s="275"/>
      <c r="K233" s="279"/>
    </row>
    <row r="234" spans="1:11" ht="13.2">
      <c r="A234" s="143"/>
      <c r="B234" s="31"/>
      <c r="C234" s="149"/>
      <c r="D234" s="29"/>
      <c r="E234" s="29"/>
      <c r="F234" s="29"/>
      <c r="G234" s="29"/>
      <c r="H234" s="149"/>
      <c r="I234" s="29"/>
      <c r="J234" s="149"/>
      <c r="K234" s="220" t="s">
        <v>145</v>
      </c>
    </row>
    <row r="235" spans="1:11" ht="13.2">
      <c r="A235" s="143"/>
      <c r="B235" s="31"/>
      <c r="C235" s="149"/>
      <c r="D235" s="29"/>
      <c r="E235" s="29"/>
      <c r="F235" s="29"/>
      <c r="G235" s="29"/>
      <c r="H235" s="149"/>
      <c r="I235" s="29"/>
      <c r="J235" s="149"/>
      <c r="K235" s="29"/>
    </row>
    <row r="236" spans="1:11" ht="13.2">
      <c r="A236" s="143"/>
      <c r="B236" s="280" t="s">
        <v>7</v>
      </c>
      <c r="C236" s="143"/>
      <c r="D236" s="32" t="s">
        <v>89</v>
      </c>
      <c r="E236" s="29"/>
      <c r="F236" s="29"/>
      <c r="G236" s="29"/>
      <c r="H236" s="148"/>
      <c r="I236" s="141"/>
      <c r="J236" s="260"/>
      <c r="K236" s="282" t="str">
        <f>K3</f>
        <v>For  the 12 months ended 12/31/2022</v>
      </c>
    </row>
    <row r="237" spans="1:11" ht="13.2">
      <c r="A237" s="143"/>
      <c r="B237" s="280"/>
      <c r="C237" s="143"/>
      <c r="D237" s="32" t="s">
        <v>118</v>
      </c>
      <c r="E237" s="29"/>
      <c r="F237" s="29"/>
      <c r="G237" s="29"/>
      <c r="H237" s="148"/>
      <c r="I237" s="283"/>
      <c r="J237" s="260"/>
      <c r="K237" s="279"/>
    </row>
    <row r="238" spans="1:11" ht="13.2">
      <c r="A238" s="143"/>
      <c r="B238" s="280"/>
      <c r="C238" s="143"/>
      <c r="D238" s="654" t="str">
        <f>D5</f>
        <v>NextEra Energy Transmission MidAtlantic Indiana, Inc.</v>
      </c>
      <c r="E238" s="29"/>
      <c r="F238" s="29"/>
      <c r="G238" s="29"/>
      <c r="H238" s="148"/>
      <c r="I238" s="283"/>
      <c r="J238" s="260"/>
      <c r="K238" s="279"/>
    </row>
    <row r="239" spans="1:11" ht="13.2">
      <c r="A239" s="742"/>
      <c r="B239" s="742"/>
      <c r="C239" s="742"/>
      <c r="D239" s="742"/>
      <c r="E239" s="742"/>
      <c r="F239" s="742"/>
      <c r="G239" s="742"/>
      <c r="H239" s="742"/>
      <c r="I239" s="742"/>
      <c r="J239" s="742"/>
      <c r="K239" s="742"/>
    </row>
    <row r="240" spans="1:11" ht="13.2">
      <c r="A240" s="143"/>
      <c r="B240" s="280"/>
      <c r="C240" s="143"/>
      <c r="D240" s="29"/>
      <c r="E240" s="29"/>
      <c r="F240" s="29"/>
      <c r="G240" s="29"/>
      <c r="H240" s="148"/>
      <c r="I240" s="283"/>
      <c r="J240" s="260"/>
      <c r="K240" s="279"/>
    </row>
    <row r="241" spans="1:11" ht="13.2">
      <c r="A241" s="143"/>
      <c r="B241" s="28" t="s">
        <v>70</v>
      </c>
      <c r="C241" s="143"/>
      <c r="D241" s="29"/>
      <c r="E241" s="29"/>
      <c r="F241" s="29"/>
      <c r="G241" s="29"/>
      <c r="H241" s="148"/>
      <c r="I241" s="29"/>
      <c r="J241" s="148"/>
      <c r="K241" s="29"/>
    </row>
    <row r="242" spans="1:11" ht="13.2">
      <c r="A242" s="143"/>
      <c r="B242" s="284" t="s">
        <v>146</v>
      </c>
      <c r="C242" s="143"/>
      <c r="D242" s="29"/>
      <c r="E242" s="29"/>
      <c r="F242" s="29"/>
      <c r="G242" s="29"/>
      <c r="H242" s="148"/>
      <c r="I242" s="29"/>
      <c r="J242" s="148"/>
      <c r="K242" s="29"/>
    </row>
    <row r="243" spans="1:11" ht="13.2">
      <c r="A243" s="143" t="s">
        <v>71</v>
      </c>
      <c r="B243" s="28"/>
      <c r="C243" s="148"/>
      <c r="D243" s="29"/>
      <c r="E243" s="29"/>
      <c r="F243" s="29"/>
      <c r="G243" s="29"/>
      <c r="H243" s="148"/>
      <c r="I243" s="29"/>
      <c r="J243" s="148"/>
      <c r="K243" s="29"/>
    </row>
    <row r="244" spans="1:11" ht="13.8" thickBot="1">
      <c r="A244" s="33" t="s">
        <v>72</v>
      </c>
      <c r="B244" s="744"/>
      <c r="C244" s="744"/>
      <c r="D244" s="285"/>
      <c r="E244" s="285"/>
      <c r="F244" s="285"/>
      <c r="G244" s="285"/>
      <c r="H244" s="286"/>
      <c r="I244" s="285"/>
      <c r="J244" s="286"/>
      <c r="K244" s="285"/>
    </row>
    <row r="245" spans="1:11" ht="13.2">
      <c r="A245" s="318" t="s">
        <v>225</v>
      </c>
      <c r="B245" s="743" t="s">
        <v>585</v>
      </c>
      <c r="C245" s="743"/>
      <c r="D245" s="743"/>
      <c r="E245" s="743"/>
      <c r="F245" s="743"/>
      <c r="G245" s="743"/>
      <c r="H245" s="743"/>
      <c r="I245" s="743"/>
      <c r="J245" s="743"/>
      <c r="K245" s="743"/>
    </row>
    <row r="246" spans="1:13" ht="29.25" customHeight="1">
      <c r="A246" s="318" t="s">
        <v>226</v>
      </c>
      <c r="B246" s="743" t="s">
        <v>552</v>
      </c>
      <c r="C246" s="743"/>
      <c r="D246" s="743"/>
      <c r="E246" s="743"/>
      <c r="F246" s="743"/>
      <c r="G246" s="743"/>
      <c r="H246" s="743"/>
      <c r="I246" s="743"/>
      <c r="J246" s="743"/>
      <c r="K246" s="743"/>
      <c r="M246" s="736"/>
    </row>
    <row r="247" spans="1:11" ht="13.2">
      <c r="A247" s="318" t="s">
        <v>75</v>
      </c>
      <c r="B247" s="743" t="s">
        <v>80</v>
      </c>
      <c r="C247" s="743"/>
      <c r="D247" s="743"/>
      <c r="E247" s="743"/>
      <c r="F247" s="743"/>
      <c r="G247" s="743"/>
      <c r="H247" s="743"/>
      <c r="I247" s="743"/>
      <c r="J247" s="743"/>
      <c r="K247" s="743"/>
    </row>
    <row r="248" spans="1:11" ht="29.25" customHeight="1">
      <c r="A248" s="318" t="s">
        <v>76</v>
      </c>
      <c r="B248" s="743" t="s">
        <v>403</v>
      </c>
      <c r="C248" s="743"/>
      <c r="D248" s="743"/>
      <c r="E248" s="743"/>
      <c r="F248" s="743"/>
      <c r="G248" s="743"/>
      <c r="H248" s="743"/>
      <c r="I248" s="743"/>
      <c r="J248" s="743"/>
      <c r="K248" s="743"/>
    </row>
    <row r="249" spans="1:11" ht="29.25" customHeight="1">
      <c r="A249" s="318" t="s">
        <v>77</v>
      </c>
      <c r="B249" s="743" t="s">
        <v>662</v>
      </c>
      <c r="C249" s="743"/>
      <c r="D249" s="743"/>
      <c r="E249" s="743"/>
      <c r="F249" s="743"/>
      <c r="G249" s="743"/>
      <c r="H249" s="743"/>
      <c r="I249" s="743"/>
      <c r="J249" s="743"/>
      <c r="K249" s="743"/>
    </row>
    <row r="250" spans="1:11" ht="30" customHeight="1">
      <c r="A250" s="318" t="s">
        <v>78</v>
      </c>
      <c r="B250" s="743" t="s">
        <v>147</v>
      </c>
      <c r="C250" s="743"/>
      <c r="D250" s="743"/>
      <c r="E250" s="743"/>
      <c r="F250" s="743"/>
      <c r="G250" s="743"/>
      <c r="H250" s="743"/>
      <c r="I250" s="743"/>
      <c r="J250" s="743"/>
      <c r="K250" s="743"/>
    </row>
    <row r="251" spans="1:12" ht="45.75" customHeight="1">
      <c r="A251" s="743" t="s">
        <v>79</v>
      </c>
      <c r="B251" s="743" t="s">
        <v>817</v>
      </c>
      <c r="C251" s="743"/>
      <c r="D251" s="743"/>
      <c r="E251" s="743"/>
      <c r="F251" s="743"/>
      <c r="G251" s="743"/>
      <c r="H251" s="743"/>
      <c r="I251" s="743"/>
      <c r="J251" s="743"/>
      <c r="K251" s="743"/>
      <c r="L251" s="737"/>
    </row>
    <row r="252" spans="1:11" ht="13.2">
      <c r="A252" s="743"/>
      <c r="B252" s="362" t="s">
        <v>84</v>
      </c>
      <c r="C252" s="362" t="s">
        <v>85</v>
      </c>
      <c r="D252" s="676">
        <v>0.21</v>
      </c>
      <c r="E252" s="362"/>
      <c r="F252" s="362"/>
      <c r="G252" s="362"/>
      <c r="H252" s="362"/>
      <c r="I252" s="362"/>
      <c r="J252" s="362"/>
      <c r="K252" s="362"/>
    </row>
    <row r="253" spans="1:11" ht="13.2">
      <c r="A253" s="743"/>
      <c r="B253" s="362"/>
      <c r="C253" s="362" t="s">
        <v>86</v>
      </c>
      <c r="D253" s="678">
        <v>0.049000000000000002</v>
      </c>
      <c r="E253" s="362" t="s">
        <v>148</v>
      </c>
      <c r="F253" s="362"/>
      <c r="G253" s="362"/>
      <c r="H253" s="362"/>
      <c r="I253" s="362"/>
      <c r="J253" s="362"/>
      <c r="K253" s="362"/>
    </row>
    <row r="254" spans="1:11" ht="13.2">
      <c r="A254" s="743"/>
      <c r="B254" s="362"/>
      <c r="C254" s="362" t="s">
        <v>87</v>
      </c>
      <c r="D254" s="677">
        <v>0</v>
      </c>
      <c r="E254" s="362" t="s">
        <v>149</v>
      </c>
      <c r="F254" s="362"/>
      <c r="G254" s="362"/>
      <c r="H254" s="362"/>
      <c r="I254" s="362"/>
      <c r="J254" s="362"/>
      <c r="K254" s="362"/>
    </row>
    <row r="255" spans="1:11" ht="13.2">
      <c r="A255" s="743"/>
      <c r="B255" s="362"/>
      <c r="C255" s="362"/>
      <c r="D255" s="598"/>
      <c r="E255" s="362"/>
      <c r="F255" s="362"/>
      <c r="G255" s="362"/>
      <c r="H255" s="362"/>
      <c r="I255" s="362"/>
      <c r="J255" s="362"/>
      <c r="K255" s="362"/>
    </row>
    <row r="256" spans="1:11" ht="19.5" customHeight="1">
      <c r="A256" s="318" t="s">
        <v>81</v>
      </c>
      <c r="B256" s="743" t="s">
        <v>151</v>
      </c>
      <c r="C256" s="743"/>
      <c r="D256" s="743"/>
      <c r="E256" s="743"/>
      <c r="F256" s="743"/>
      <c r="G256" s="743"/>
      <c r="H256" s="743"/>
      <c r="I256" s="743"/>
      <c r="J256" s="743"/>
      <c r="K256" s="743"/>
    </row>
    <row r="257" spans="1:11" ht="31.5" customHeight="1">
      <c r="A257" s="318" t="s">
        <v>82</v>
      </c>
      <c r="B257" s="743" t="s">
        <v>152</v>
      </c>
      <c r="C257" s="743"/>
      <c r="D257" s="743"/>
      <c r="E257" s="743"/>
      <c r="F257" s="743"/>
      <c r="G257" s="743"/>
      <c r="H257" s="743"/>
      <c r="I257" s="743"/>
      <c r="J257" s="743"/>
      <c r="K257" s="743"/>
    </row>
    <row r="258" spans="1:11" ht="13.2">
      <c r="A258" s="318" t="s">
        <v>83</v>
      </c>
      <c r="B258" s="743" t="s">
        <v>88</v>
      </c>
      <c r="C258" s="743"/>
      <c r="D258" s="743"/>
      <c r="E258" s="743"/>
      <c r="F258" s="743"/>
      <c r="G258" s="743"/>
      <c r="H258" s="743"/>
      <c r="I258" s="743"/>
      <c r="J258" s="743"/>
      <c r="K258" s="743"/>
    </row>
    <row r="259" spans="1:11" ht="13.2">
      <c r="A259" s="318" t="s">
        <v>120</v>
      </c>
      <c r="B259" s="743" t="s">
        <v>237</v>
      </c>
      <c r="C259" s="743"/>
      <c r="D259" s="743"/>
      <c r="E259" s="743"/>
      <c r="F259" s="743"/>
      <c r="G259" s="743"/>
      <c r="H259" s="743"/>
      <c r="I259" s="743"/>
      <c r="J259" s="743"/>
      <c r="K259" s="743"/>
    </row>
    <row r="260" spans="1:11" ht="13.2">
      <c r="A260" s="318" t="s">
        <v>227</v>
      </c>
      <c r="B260" s="743" t="s">
        <v>489</v>
      </c>
      <c r="C260" s="743"/>
      <c r="D260" s="743"/>
      <c r="E260" s="743"/>
      <c r="F260" s="743"/>
      <c r="G260" s="743"/>
      <c r="H260" s="743"/>
      <c r="I260" s="743"/>
      <c r="J260" s="743"/>
      <c r="K260" s="743"/>
    </row>
    <row r="261" spans="1:11" ht="13.2">
      <c r="A261" s="318" t="s">
        <v>150</v>
      </c>
      <c r="B261" s="743" t="s">
        <v>157</v>
      </c>
      <c r="C261" s="743"/>
      <c r="D261" s="743"/>
      <c r="E261" s="743"/>
      <c r="F261" s="743"/>
      <c r="G261" s="743"/>
      <c r="H261" s="743"/>
      <c r="I261" s="743"/>
      <c r="J261" s="743"/>
      <c r="K261" s="743"/>
    </row>
    <row r="262" spans="1:11" ht="13.2">
      <c r="A262" s="318" t="s">
        <v>228</v>
      </c>
      <c r="B262" s="743" t="s">
        <v>436</v>
      </c>
      <c r="C262" s="743"/>
      <c r="D262" s="743"/>
      <c r="E262" s="743"/>
      <c r="F262" s="743"/>
      <c r="G262" s="743"/>
      <c r="H262" s="743"/>
      <c r="I262" s="743"/>
      <c r="J262" s="743"/>
      <c r="K262" s="743"/>
    </row>
    <row r="263" spans="1:11" ht="33.75" customHeight="1">
      <c r="A263" s="318" t="s">
        <v>153</v>
      </c>
      <c r="B263" s="746" t="s">
        <v>653</v>
      </c>
      <c r="C263" s="747"/>
      <c r="D263" s="747"/>
      <c r="E263" s="747"/>
      <c r="F263" s="747"/>
      <c r="G263" s="747"/>
      <c r="H263" s="747"/>
      <c r="I263" s="747"/>
      <c r="J263" s="747"/>
      <c r="K263" s="747"/>
    </row>
    <row r="264" spans="1:11" ht="13.2">
      <c r="A264" s="363" t="s">
        <v>154</v>
      </c>
      <c r="B264" s="748" t="s">
        <v>585</v>
      </c>
      <c r="C264" s="749"/>
      <c r="D264" s="749"/>
      <c r="E264" s="749"/>
      <c r="F264" s="749"/>
      <c r="G264" s="749"/>
      <c r="H264" s="749"/>
      <c r="I264" s="749"/>
      <c r="J264" s="749"/>
      <c r="K264" s="749"/>
    </row>
    <row r="265" spans="1:11" ht="28.5" customHeight="1">
      <c r="A265" s="364" t="s">
        <v>155</v>
      </c>
      <c r="B265" s="750" t="s">
        <v>841</v>
      </c>
      <c r="C265" s="750"/>
      <c r="D265" s="750"/>
      <c r="E265" s="750"/>
      <c r="F265" s="750"/>
      <c r="G265" s="750"/>
      <c r="H265" s="750"/>
      <c r="I265" s="750"/>
      <c r="J265" s="750"/>
      <c r="K265" s="750"/>
    </row>
    <row r="266" spans="1:11" s="298" customFormat="1" ht="13.2">
      <c r="A266" s="364" t="s">
        <v>156</v>
      </c>
      <c r="B266" s="752" t="s">
        <v>685</v>
      </c>
      <c r="C266" s="752"/>
      <c r="D266" s="752"/>
      <c r="E266" s="752"/>
      <c r="F266" s="752"/>
      <c r="G266" s="752"/>
      <c r="H266" s="752"/>
      <c r="I266" s="752"/>
      <c r="J266" s="752"/>
      <c r="K266" s="752"/>
    </row>
    <row r="267" spans="1:11" ht="18.75" customHeight="1">
      <c r="A267" s="364" t="s">
        <v>158</v>
      </c>
      <c r="B267" s="751" t="s">
        <v>654</v>
      </c>
      <c r="C267" s="751"/>
      <c r="D267" s="751"/>
      <c r="E267" s="751"/>
      <c r="F267" s="751"/>
      <c r="G267" s="751"/>
      <c r="H267" s="751"/>
      <c r="I267" s="751"/>
      <c r="J267" s="751"/>
      <c r="K267" s="751"/>
    </row>
    <row r="268" spans="1:11" s="14" customFormat="1" ht="29.25" customHeight="1">
      <c r="A268" s="364" t="s">
        <v>159</v>
      </c>
      <c r="B268" s="745" t="s">
        <v>806</v>
      </c>
      <c r="C268" s="745"/>
      <c r="D268" s="745"/>
      <c r="E268" s="745"/>
      <c r="F268" s="745"/>
      <c r="G268" s="745"/>
      <c r="H268" s="745"/>
      <c r="I268" s="745"/>
      <c r="J268" s="745"/>
      <c r="K268" s="745"/>
    </row>
    <row r="269" spans="1:11" s="14" customFormat="1" ht="13.2">
      <c r="A269" s="364" t="s">
        <v>263</v>
      </c>
      <c r="B269" s="394" t="s">
        <v>443</v>
      </c>
      <c r="C269" s="365"/>
      <c r="D269" s="365"/>
      <c r="E269" s="365"/>
      <c r="F269" s="365"/>
      <c r="G269" s="365"/>
      <c r="H269" s="366"/>
      <c r="I269" s="367"/>
      <c r="J269" s="368"/>
      <c r="K269" s="369"/>
    </row>
    <row r="270" spans="1:11" s="14" customFormat="1" ht="13.2">
      <c r="A270" s="370" t="s">
        <v>350</v>
      </c>
      <c r="B270" s="370" t="s">
        <v>435</v>
      </c>
      <c r="C270" s="370"/>
      <c r="D270" s="370"/>
      <c r="E270" s="370"/>
      <c r="F270" s="370"/>
      <c r="G270" s="370"/>
      <c r="H270" s="370"/>
      <c r="I270" s="370"/>
      <c r="J270" s="370"/>
      <c r="K270" s="370"/>
    </row>
    <row r="271" spans="1:2" ht="13.2">
      <c r="A271" s="15" t="s">
        <v>427</v>
      </c>
      <c r="B271" s="15" t="s">
        <v>445</v>
      </c>
    </row>
    <row r="272" spans="1:2" ht="14.4">
      <c r="A272" s="506" t="s">
        <v>497</v>
      </c>
      <c r="B272" s="298" t="s">
        <v>686</v>
      </c>
    </row>
    <row r="273" spans="1:2" ht="13.2">
      <c r="A273" s="15" t="s">
        <v>834</v>
      </c>
      <c r="B273" s="667" t="s">
        <v>832</v>
      </c>
    </row>
    <row r="274" spans="2:2" ht="13.2">
      <c r="B274" s="667" t="s">
        <v>833</v>
      </c>
    </row>
  </sheetData>
  <mergeCells count="26">
    <mergeCell ref="A251:A255"/>
    <mergeCell ref="B265:K265"/>
    <mergeCell ref="B267:K267"/>
    <mergeCell ref="B251:K251"/>
    <mergeCell ref="B256:K256"/>
    <mergeCell ref="B257:K257"/>
    <mergeCell ref="B258:K258"/>
    <mergeCell ref="B259:K259"/>
    <mergeCell ref="B266:K266"/>
    <mergeCell ref="B268:K268"/>
    <mergeCell ref="B260:K260"/>
    <mergeCell ref="B261:K261"/>
    <mergeCell ref="B262:K262"/>
    <mergeCell ref="B263:K263"/>
    <mergeCell ref="B264:K264"/>
    <mergeCell ref="A57:K57"/>
    <mergeCell ref="A114:K114"/>
    <mergeCell ref="A180:K180"/>
    <mergeCell ref="B250:K250"/>
    <mergeCell ref="A239:K239"/>
    <mergeCell ref="B244:C244"/>
    <mergeCell ref="B245:K245"/>
    <mergeCell ref="B246:K246"/>
    <mergeCell ref="B247:K247"/>
    <mergeCell ref="B248:K248"/>
    <mergeCell ref="B249:K249"/>
  </mergeCells>
  <pageMargins left="0.25" right="0.25" top="0.75" bottom="0.75" header="0.3" footer="0.3"/>
  <pageSetup fitToHeight="0" orientation="landscape" scale="57" r:id="rId1"/>
  <rowBreaks count="4" manualBreakCount="4">
    <brk id="50" max="10" man="1"/>
    <brk id="108" max="16383" man="1"/>
    <brk id="173" max="10" man="1"/>
    <brk id="232" max="10" man="1"/>
  </rowBreaks>
  <customProperties>
    <customPr name="_pios_id" r:id="rId2"/>
  </customProperties>
  <ignoredErrors>
    <ignoredError sqref="C128"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F77"/>
  <sheetViews>
    <sheetView zoomScale="85" zoomScaleNormal="85" workbookViewId="0" topLeftCell="A1"/>
  </sheetViews>
  <sheetFormatPr defaultColWidth="8.81555555555556" defaultRowHeight="13.5"/>
  <cols>
    <col min="1" max="1" width="6" style="294" bestFit="1" customWidth="1"/>
    <col min="2" max="2" width="28.4444444444444" style="15" bestFit="1" customWidth="1"/>
    <col min="3" max="3" width="56.2222222222222" style="291" customWidth="1"/>
    <col min="4" max="4" width="20.4444444444444" style="15" bestFit="1" customWidth="1"/>
    <col min="5" max="6" width="8.77777777777778" style="15"/>
    <col min="7" max="16384" width="8.77777777777778" style="15"/>
  </cols>
  <sheetData>
    <row r="1" spans="4:4" ht="15" customHeight="1">
      <c r="D1" s="604" t="s">
        <v>677</v>
      </c>
    </row>
    <row r="2" spans="1:4" ht="15" customHeight="1">
      <c r="A2" s="780" t="s">
        <v>434</v>
      </c>
      <c r="B2" s="780"/>
      <c r="C2" s="780"/>
      <c r="D2" s="780"/>
    </row>
    <row r="3" spans="1:4" s="564" customFormat="1" ht="15" customHeight="1">
      <c r="A3" s="781" t="s">
        <v>361</v>
      </c>
      <c r="B3" s="781"/>
      <c r="C3" s="781"/>
      <c r="D3" s="781"/>
    </row>
    <row r="4" spans="1:4" ht="15" customHeight="1">
      <c r="A4" s="782" t="str">
        <f>'Attachment H'!$D$5</f>
        <v>NextEra Energy Transmission MidAtlantic Indiana, Inc.</v>
      </c>
      <c r="B4" s="782"/>
      <c r="C4" s="782"/>
      <c r="D4" s="782"/>
    </row>
    <row r="5" ht="13.2"/>
    <row r="6" spans="1:4" ht="15.6">
      <c r="A6" s="612" t="s">
        <v>14</v>
      </c>
      <c r="B6" s="613" t="s">
        <v>722</v>
      </c>
      <c r="C6" s="613" t="s">
        <v>723</v>
      </c>
      <c r="D6" s="613" t="s">
        <v>724</v>
      </c>
    </row>
    <row r="7" spans="1:4" ht="15.6">
      <c r="A7" s="612"/>
      <c r="B7" s="615" t="s">
        <v>725</v>
      </c>
      <c r="C7" s="613"/>
      <c r="D7" s="613"/>
    </row>
    <row r="8" spans="1:4" ht="15.6">
      <c r="A8" s="659">
        <v>1</v>
      </c>
      <c r="B8" s="616" t="s">
        <v>726</v>
      </c>
      <c r="C8" s="614" t="s">
        <v>727</v>
      </c>
      <c r="D8" s="617">
        <v>0</v>
      </c>
    </row>
    <row r="9" spans="1:4" ht="15.6">
      <c r="A9" s="659">
        <f>+A8+1</f>
        <v>2</v>
      </c>
      <c r="B9" s="616" t="s">
        <v>728</v>
      </c>
      <c r="C9" s="613" t="s">
        <v>729</v>
      </c>
      <c r="D9" s="617">
        <v>1.33</v>
      </c>
    </row>
    <row r="10" spans="1:4" ht="15.6">
      <c r="A10" s="659">
        <f>+A8+1</f>
        <v>2</v>
      </c>
      <c r="B10" s="616" t="s">
        <v>730</v>
      </c>
      <c r="C10" s="613" t="s">
        <v>731</v>
      </c>
      <c r="D10" s="617">
        <v>3.36</v>
      </c>
    </row>
    <row r="11" spans="1:4" ht="15.6">
      <c r="A11" s="659">
        <f>+A10+1</f>
        <v>3</v>
      </c>
      <c r="B11" s="616" t="s">
        <v>732</v>
      </c>
      <c r="C11" s="613" t="s">
        <v>733</v>
      </c>
      <c r="D11" s="617">
        <v>2.92</v>
      </c>
    </row>
    <row r="12" spans="1:4" ht="15.6">
      <c r="A12" s="659">
        <f>+A11+1</f>
        <v>4</v>
      </c>
      <c r="B12" s="616" t="s">
        <v>734</v>
      </c>
      <c r="C12" s="613" t="s">
        <v>735</v>
      </c>
      <c r="D12" s="617">
        <v>2.02</v>
      </c>
    </row>
    <row r="13" spans="1:4" ht="15.6">
      <c r="A13" s="659">
        <f>+A12+1</f>
        <v>5</v>
      </c>
      <c r="B13" s="616" t="s">
        <v>736</v>
      </c>
      <c r="C13" s="613" t="s">
        <v>737</v>
      </c>
      <c r="D13" s="617">
        <v>2.0499999999999998</v>
      </c>
    </row>
    <row r="14" spans="1:4" ht="15.6">
      <c r="A14" s="659">
        <f t="shared" si="0" ref="A14:A36">+A13+1</f>
        <v>6</v>
      </c>
      <c r="B14" s="616" t="s">
        <v>738</v>
      </c>
      <c r="C14" s="613" t="s">
        <v>739</v>
      </c>
      <c r="D14" s="617">
        <v>3.10</v>
      </c>
    </row>
    <row r="15" spans="1:4" ht="15.6">
      <c r="A15" s="659">
        <f>+A14+1</f>
        <v>7</v>
      </c>
      <c r="B15" s="616" t="s">
        <v>740</v>
      </c>
      <c r="C15" s="613" t="s">
        <v>741</v>
      </c>
      <c r="D15" s="617">
        <v>0</v>
      </c>
    </row>
    <row r="16" spans="1:4" ht="15.6">
      <c r="A16" s="659">
        <f>+A15+1</f>
        <v>8</v>
      </c>
      <c r="B16" s="616" t="s">
        <v>742</v>
      </c>
      <c r="C16" s="613" t="s">
        <v>743</v>
      </c>
      <c r="D16" s="617">
        <v>0</v>
      </c>
    </row>
    <row r="17" spans="1:4" ht="15.6">
      <c r="A17" s="659">
        <f>+A16+1</f>
        <v>9</v>
      </c>
      <c r="B17" s="616" t="s">
        <v>744</v>
      </c>
      <c r="C17" s="613" t="s">
        <v>745</v>
      </c>
      <c r="D17" s="617">
        <v>0</v>
      </c>
    </row>
    <row r="18" spans="1:4" ht="15.6">
      <c r="A18" s="659"/>
      <c r="B18" s="614"/>
      <c r="C18" s="613"/>
      <c r="D18" s="617"/>
    </row>
    <row r="19" spans="1:4" ht="15.6">
      <c r="A19" s="659"/>
      <c r="B19" s="616" t="s">
        <v>746</v>
      </c>
      <c r="C19" s="613"/>
      <c r="D19" s="617"/>
    </row>
    <row r="20" spans="1:4" ht="15.6">
      <c r="A20" s="659">
        <f>+A17+1</f>
        <v>10</v>
      </c>
      <c r="B20" s="616" t="s">
        <v>747</v>
      </c>
      <c r="C20" s="613" t="s">
        <v>748</v>
      </c>
      <c r="D20" s="617">
        <v>0</v>
      </c>
    </row>
    <row r="21" spans="1:4" ht="15.6">
      <c r="A21" s="659">
        <f>+A20+1</f>
        <v>11</v>
      </c>
      <c r="B21" s="616" t="s">
        <v>749</v>
      </c>
      <c r="C21" s="613" t="s">
        <v>750</v>
      </c>
      <c r="D21" s="617">
        <v>5.25</v>
      </c>
    </row>
    <row r="22" spans="1:4" ht="15.6">
      <c r="A22" s="659">
        <f>+A21+1</f>
        <v>12</v>
      </c>
      <c r="B22" s="618">
        <v>392</v>
      </c>
      <c r="C22" s="614" t="s">
        <v>751</v>
      </c>
      <c r="D22" s="617">
        <v>0</v>
      </c>
    </row>
    <row r="23" spans="1:4" ht="15.6">
      <c r="A23" s="659">
        <f>+A22+1</f>
        <v>13</v>
      </c>
      <c r="B23" s="616" t="s">
        <v>752</v>
      </c>
      <c r="C23" s="613" t="s">
        <v>753</v>
      </c>
      <c r="D23" s="617">
        <v>0</v>
      </c>
    </row>
    <row r="24" spans="1:4" ht="15.6">
      <c r="A24" s="659">
        <f>+A23+1</f>
        <v>14</v>
      </c>
      <c r="B24" s="616" t="s">
        <v>754</v>
      </c>
      <c r="C24" s="613" t="s">
        <v>755</v>
      </c>
      <c r="D24" s="617">
        <v>0</v>
      </c>
    </row>
    <row r="25" spans="1:4" ht="15.6">
      <c r="A25" s="659">
        <f>+A24+1</f>
        <v>15</v>
      </c>
      <c r="B25" s="616" t="s">
        <v>756</v>
      </c>
      <c r="C25" s="613" t="s">
        <v>757</v>
      </c>
      <c r="D25" s="617">
        <v>0</v>
      </c>
    </row>
    <row r="26" spans="1:4" ht="15.6">
      <c r="A26" s="659">
        <f>+A25+1</f>
        <v>16</v>
      </c>
      <c r="B26" s="616" t="s">
        <v>758</v>
      </c>
      <c r="C26" s="613" t="s">
        <v>759</v>
      </c>
      <c r="D26" s="617">
        <v>25</v>
      </c>
    </row>
    <row r="27" spans="1:4" ht="15.6">
      <c r="A27" s="659">
        <f>+A26+1</f>
        <v>17</v>
      </c>
      <c r="B27" s="616" t="s">
        <v>760</v>
      </c>
      <c r="C27" s="613" t="s">
        <v>761</v>
      </c>
      <c r="D27" s="617">
        <v>2.50</v>
      </c>
    </row>
    <row r="28" spans="1:4" ht="15.6">
      <c r="A28" s="659"/>
      <c r="B28" s="614"/>
      <c r="C28" s="614"/>
      <c r="D28" s="617"/>
    </row>
    <row r="29" spans="1:4" ht="15.6">
      <c r="A29" s="659"/>
      <c r="B29" s="616" t="s">
        <v>762</v>
      </c>
      <c r="C29" s="613"/>
      <c r="D29" s="617"/>
    </row>
    <row r="30" spans="1:4" ht="15.6">
      <c r="A30" s="659">
        <v>18</v>
      </c>
      <c r="B30" s="616" t="s">
        <v>763</v>
      </c>
      <c r="C30" s="613" t="s">
        <v>764</v>
      </c>
      <c r="D30" s="617">
        <v>1.85</v>
      </c>
    </row>
    <row r="31" spans="1:4" ht="15.6">
      <c r="A31" s="659">
        <f>+A30+1</f>
        <v>19</v>
      </c>
      <c r="B31" s="619">
        <v>302</v>
      </c>
      <c r="C31" s="614" t="s">
        <v>765</v>
      </c>
      <c r="D31" s="655">
        <v>1.85</v>
      </c>
    </row>
    <row r="32" spans="1:4" ht="15.6">
      <c r="A32" s="659">
        <f>+A31+1</f>
        <v>20</v>
      </c>
      <c r="B32" s="616" t="s">
        <v>766</v>
      </c>
      <c r="C32" s="613" t="s">
        <v>767</v>
      </c>
      <c r="D32" s="617"/>
    </row>
    <row r="33" spans="1:4" ht="15.6">
      <c r="A33" s="659">
        <f>+A32+1</f>
        <v>21</v>
      </c>
      <c r="B33" s="616"/>
      <c r="C33" s="613" t="s">
        <v>768</v>
      </c>
      <c r="D33" s="617">
        <f>0.2*100</f>
        <v>20</v>
      </c>
    </row>
    <row r="34" spans="1:4" ht="15.6">
      <c r="A34" s="659">
        <f>+A33+1</f>
        <v>22</v>
      </c>
      <c r="B34" s="616"/>
      <c r="C34" s="613" t="s">
        <v>769</v>
      </c>
      <c r="D34" s="617">
        <f>0.142857142857143*100</f>
        <v>14.285714285714299</v>
      </c>
    </row>
    <row r="35" spans="1:4" ht="15.6">
      <c r="A35" s="659">
        <f>+A34+1</f>
        <v>23</v>
      </c>
      <c r="B35" s="616"/>
      <c r="C35" s="613" t="s">
        <v>770</v>
      </c>
      <c r="D35" s="617">
        <v>10</v>
      </c>
    </row>
    <row r="36" spans="1:4" ht="15.6">
      <c r="A36" s="659">
        <f>+A35+1</f>
        <v>24</v>
      </c>
      <c r="B36" s="614"/>
      <c r="C36" s="621" t="s">
        <v>771</v>
      </c>
      <c r="D36" s="622" t="s">
        <v>772</v>
      </c>
    </row>
    <row r="37" spans="3:5" ht="15.6">
      <c r="C37" s="623"/>
      <c r="D37" s="623"/>
      <c r="E37" s="623"/>
    </row>
    <row r="38" spans="1:5" ht="15.6">
      <c r="A38" s="620"/>
      <c r="B38" s="612"/>
      <c r="C38" s="623"/>
      <c r="D38" s="623"/>
      <c r="E38" s="623"/>
    </row>
    <row r="39" spans="1:6" ht="18">
      <c r="A39" s="15"/>
      <c r="B39" s="660" t="s">
        <v>826</v>
      </c>
      <c r="C39" s="660"/>
      <c r="D39" s="661"/>
      <c r="E39" s="630"/>
      <c r="F39" s="630"/>
    </row>
    <row r="40" spans="1:6" ht="18">
      <c r="A40" s="15"/>
      <c r="B40" s="660" t="s">
        <v>828</v>
      </c>
      <c r="C40" s="660"/>
      <c r="D40" s="661"/>
      <c r="E40" s="630"/>
      <c r="F40" s="630"/>
    </row>
    <row r="41" spans="1:6" ht="18">
      <c r="A41" s="15"/>
      <c r="B41" s="660" t="s">
        <v>829</v>
      </c>
      <c r="C41" s="660"/>
      <c r="D41" s="661"/>
      <c r="E41" s="630"/>
      <c r="F41" s="630"/>
    </row>
    <row r="42" spans="1:6" ht="18">
      <c r="A42" s="15"/>
      <c r="B42" s="660" t="s">
        <v>782</v>
      </c>
      <c r="C42" s="660"/>
      <c r="D42" s="662"/>
      <c r="E42" s="630"/>
      <c r="F42" s="630"/>
    </row>
    <row r="43" spans="1:6" ht="18">
      <c r="A43" s="15"/>
      <c r="B43" s="660" t="s">
        <v>780</v>
      </c>
      <c r="C43" s="660"/>
      <c r="D43" s="662"/>
      <c r="E43" s="630"/>
      <c r="F43" s="630"/>
    </row>
    <row r="44" spans="1:6" ht="18">
      <c r="A44" s="15"/>
      <c r="B44" s="660" t="s">
        <v>781</v>
      </c>
      <c r="C44" s="660"/>
      <c r="D44" s="662"/>
      <c r="E44" s="630"/>
      <c r="F44" s="630"/>
    </row>
    <row r="45" spans="1:4" ht="18">
      <c r="A45" s="15"/>
      <c r="B45" s="663"/>
      <c r="C45" s="664"/>
      <c r="D45" s="665"/>
    </row>
    <row r="46" spans="1:3" ht="18">
      <c r="A46" s="15"/>
      <c r="B46" s="666" t="s">
        <v>827</v>
      </c>
      <c r="C46" s="631"/>
    </row>
    <row r="47" spans="1:3" ht="15.6">
      <c r="A47" s="292"/>
      <c r="B47" s="632"/>
      <c r="C47" s="631"/>
    </row>
    <row r="48" spans="1:3" ht="13.2">
      <c r="A48" s="292"/>
      <c r="B48" s="287"/>
      <c r="C48" s="295"/>
    </row>
    <row r="49" spans="1:3" ht="13.2">
      <c r="A49" s="292"/>
      <c r="B49" s="287"/>
      <c r="C49" s="295"/>
    </row>
    <row r="50" spans="1:3" ht="13.2">
      <c r="A50" s="292"/>
      <c r="B50" s="287"/>
      <c r="C50" s="295"/>
    </row>
    <row r="51" spans="1:3" ht="13.2">
      <c r="A51" s="292"/>
      <c r="B51" s="287"/>
      <c r="C51" s="295"/>
    </row>
    <row r="52" spans="1:3" ht="13.2">
      <c r="A52" s="292"/>
      <c r="B52" s="287"/>
      <c r="C52" s="295"/>
    </row>
    <row r="53" spans="1:3" ht="13.2">
      <c r="A53" s="292"/>
      <c r="B53" s="287"/>
      <c r="C53" s="295"/>
    </row>
    <row r="54" spans="1:2" ht="13.2">
      <c r="A54" s="292"/>
      <c r="B54" s="287"/>
    </row>
    <row r="55" spans="1:2" ht="13.2">
      <c r="A55" s="293"/>
      <c r="B55" s="287"/>
    </row>
    <row r="56" spans="1:2" ht="13.2">
      <c r="A56" s="293"/>
      <c r="B56" s="287"/>
    </row>
    <row r="57" spans="1:1" ht="13.2">
      <c r="A57" s="293"/>
    </row>
    <row r="58" spans="1:1" ht="13.2">
      <c r="A58" s="293"/>
    </row>
    <row r="59" spans="1:1" ht="13.2">
      <c r="A59" s="293"/>
    </row>
    <row r="60" spans="1:1" ht="13.2">
      <c r="A60" s="293"/>
    </row>
    <row r="61" spans="1:1" ht="13.2">
      <c r="A61" s="293"/>
    </row>
    <row r="62" spans="1:1" ht="13.2">
      <c r="A62" s="293"/>
    </row>
    <row r="63" spans="1:1" ht="13.2">
      <c r="A63" s="293"/>
    </row>
    <row r="64" spans="1:1" ht="13.2">
      <c r="A64" s="293"/>
    </row>
    <row r="65" spans="1:1" ht="13.2">
      <c r="A65" s="293"/>
    </row>
    <row r="66" spans="1:1" ht="13.2">
      <c r="A66" s="293"/>
    </row>
    <row r="67" spans="1:1" ht="24" customHeight="1">
      <c r="A67" s="293"/>
    </row>
    <row r="68" spans="1:1" ht="13.2">
      <c r="A68" s="293"/>
    </row>
    <row r="69" spans="1:1" ht="13.2">
      <c r="A69" s="293"/>
    </row>
    <row r="70" spans="1:1" ht="13.2">
      <c r="A70" s="293"/>
    </row>
    <row r="71" spans="1:1" ht="13.2">
      <c r="A71" s="293"/>
    </row>
    <row r="72" spans="1:1" ht="13.2">
      <c r="A72" s="293"/>
    </row>
    <row r="73" spans="1:1" ht="13.2">
      <c r="A73" s="293"/>
    </row>
    <row r="74" spans="1:1" ht="13.2">
      <c r="A74" s="293"/>
    </row>
    <row r="75" spans="1:1" ht="13.2">
      <c r="A75" s="293"/>
    </row>
    <row r="76" spans="1:1" ht="13.2">
      <c r="A76" s="293"/>
    </row>
    <row r="77" spans="1:1" ht="13.2">
      <c r="A77" s="293"/>
    </row>
  </sheetData>
  <mergeCells count="3">
    <mergeCell ref="A2:D2"/>
    <mergeCell ref="A3:D3"/>
    <mergeCell ref="A4:D4"/>
  </mergeCells>
  <pageMargins left="0.25" right="0.25" top="0.75" bottom="0.75" header="0.3" footer="0.3"/>
  <pageSetup orientation="landscape" scale="49"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U109"/>
  <sheetViews>
    <sheetView zoomScale="85" zoomScaleNormal="85" zoomScaleSheetLayoutView="80" workbookViewId="0" topLeftCell="A1"/>
  </sheetViews>
  <sheetFormatPr defaultColWidth="8.81555555555556" defaultRowHeight="13.5"/>
  <cols>
    <col min="1" max="1" width="6" style="25" customWidth="1"/>
    <col min="2" max="2" width="1.44444444444444" style="25" customWidth="1"/>
    <col min="3" max="3" width="36" style="25" customWidth="1"/>
    <col min="4" max="4" width="13.7777777777778" style="25" customWidth="1"/>
    <col min="5" max="5" width="17.5555555555556" style="25" customWidth="1"/>
    <col min="6" max="6" width="13.1111111111111" style="25" customWidth="1"/>
    <col min="7" max="7" width="14.4444444444444" style="25" customWidth="1"/>
    <col min="8" max="8" width="16.2222222222222" style="25" customWidth="1"/>
    <col min="9" max="9" width="13.7777777777778" style="25" customWidth="1"/>
    <col min="10" max="10" width="14.4444444444444" style="25" customWidth="1"/>
    <col min="11" max="11" width="13.5555555555556" style="25" customWidth="1"/>
    <col min="12" max="13" width="15.7777777777778" style="25" customWidth="1"/>
    <col min="14" max="15" width="14.4444444444444" style="25" customWidth="1"/>
    <col min="16" max="16" width="12.7777777777778" style="25" customWidth="1"/>
    <col min="17" max="17" width="13.7777777777778" style="25" customWidth="1"/>
    <col min="18" max="18" width="9.22222222222222" style="25" customWidth="1"/>
    <col min="19" max="19" width="13" style="25" customWidth="1"/>
    <col min="20" max="20" width="11.2222222222222" style="52" bestFit="1" customWidth="1"/>
    <col min="21" max="21" width="8.77777777777778" style="25"/>
    <col min="22" max="16384" width="8.77777777777778" style="25"/>
  </cols>
  <sheetData>
    <row r="1" spans="17:17" ht="13.2">
      <c r="Q1" s="56"/>
    </row>
    <row r="2" spans="17:17" ht="13.2">
      <c r="Q2" s="56"/>
    </row>
    <row r="3" ht="13.2"/>
    <row r="4" spans="17:17" ht="13.2">
      <c r="Q4" s="56"/>
    </row>
    <row r="5" spans="4:21" ht="13.2">
      <c r="D5" s="19"/>
      <c r="E5" s="19"/>
      <c r="F5" s="19"/>
      <c r="G5" s="20" t="s">
        <v>231</v>
      </c>
      <c r="H5" s="19"/>
      <c r="I5" s="19"/>
      <c r="J5" s="19"/>
      <c r="K5" s="24"/>
      <c r="L5" s="57"/>
      <c r="M5" s="58"/>
      <c r="N5" s="58"/>
      <c r="O5" s="58"/>
      <c r="P5" s="58"/>
      <c r="Q5" s="58"/>
      <c r="R5" s="26"/>
      <c r="S5" s="26" t="s">
        <v>684</v>
      </c>
      <c r="T5" s="551"/>
      <c r="U5" s="26"/>
    </row>
    <row r="6" spans="4:21" ht="13.2">
      <c r="D6" s="19"/>
      <c r="E6" s="22" t="s">
        <v>8</v>
      </c>
      <c r="F6" s="22"/>
      <c r="G6" s="20" t="s">
        <v>230</v>
      </c>
      <c r="H6" s="22"/>
      <c r="I6" s="22"/>
      <c r="J6" s="22"/>
      <c r="K6" s="24"/>
      <c r="P6" s="26"/>
      <c r="Q6" s="24"/>
      <c r="R6" s="26"/>
      <c r="S6" s="60"/>
      <c r="T6" s="551"/>
      <c r="U6" s="26"/>
    </row>
    <row r="7" spans="3:21" ht="13.2">
      <c r="C7" s="26"/>
      <c r="D7" s="26"/>
      <c r="E7" s="26"/>
      <c r="F7" s="26"/>
      <c r="G7" s="654" t="str">
        <f>'Attachment H'!$D$5</f>
        <v>NextEra Energy Transmission MidAtlantic Indiana, Inc.</v>
      </c>
      <c r="H7" s="26"/>
      <c r="I7" s="26"/>
      <c r="J7" s="26"/>
      <c r="K7" s="26"/>
      <c r="P7" s="26"/>
      <c r="Q7" s="26"/>
      <c r="R7" s="26"/>
      <c r="S7" s="59"/>
      <c r="T7" s="551"/>
      <c r="U7" s="26"/>
    </row>
    <row r="8" spans="1:21" ht="13.2">
      <c r="A8" s="20"/>
      <c r="C8" s="26"/>
      <c r="D8" s="26"/>
      <c r="E8" s="26"/>
      <c r="F8" s="26"/>
      <c r="H8" s="26"/>
      <c r="I8" s="26"/>
      <c r="J8" s="26"/>
      <c r="K8" s="26"/>
      <c r="L8" s="26"/>
      <c r="M8" s="26"/>
      <c r="N8" s="26"/>
      <c r="O8" s="26"/>
      <c r="P8" s="26"/>
      <c r="Q8" s="26"/>
      <c r="R8" s="26"/>
      <c r="S8" s="59"/>
      <c r="T8" s="551"/>
      <c r="U8" s="26"/>
    </row>
    <row r="9" spans="1:21" ht="13.2">
      <c r="A9" s="20"/>
      <c r="C9" s="26"/>
      <c r="D9" s="26"/>
      <c r="E9" s="26"/>
      <c r="F9" s="26"/>
      <c r="G9" s="61"/>
      <c r="H9" s="26"/>
      <c r="I9" s="26"/>
      <c r="J9" s="26"/>
      <c r="K9" s="26"/>
      <c r="L9" s="26"/>
      <c r="M9" s="26"/>
      <c r="N9" s="26"/>
      <c r="O9" s="26"/>
      <c r="P9" s="26"/>
      <c r="Q9" s="26"/>
      <c r="R9" s="26"/>
      <c r="S9" s="59"/>
      <c r="T9" s="551"/>
      <c r="U9" s="26"/>
    </row>
    <row r="10" spans="1:21" ht="13.2">
      <c r="A10" s="20"/>
      <c r="C10" s="26" t="s">
        <v>449</v>
      </c>
      <c r="D10" s="26"/>
      <c r="E10" s="26"/>
      <c r="F10" s="26"/>
      <c r="G10" s="61"/>
      <c r="H10" s="26"/>
      <c r="I10" s="26"/>
      <c r="J10" s="26"/>
      <c r="K10" s="26"/>
      <c r="L10" s="26"/>
      <c r="M10" s="26"/>
      <c r="N10" s="26"/>
      <c r="O10" s="26"/>
      <c r="P10" s="26"/>
      <c r="Q10" s="26"/>
      <c r="R10" s="26"/>
      <c r="S10" s="59"/>
      <c r="T10" s="551"/>
      <c r="U10" s="26"/>
    </row>
    <row r="11" spans="1:21" ht="13.2">
      <c r="A11" s="20"/>
      <c r="C11" s="26"/>
      <c r="D11" s="26"/>
      <c r="E11" s="26"/>
      <c r="F11" s="26"/>
      <c r="G11" s="61"/>
      <c r="L11" s="26"/>
      <c r="M11" s="26"/>
      <c r="N11" s="26"/>
      <c r="O11" s="26"/>
      <c r="P11" s="26"/>
      <c r="Q11" s="26"/>
      <c r="R11" s="26"/>
      <c r="S11" s="26"/>
      <c r="T11" s="455"/>
      <c r="U11" s="26"/>
    </row>
    <row r="12" spans="1:21" ht="13.2">
      <c r="A12" s="20"/>
      <c r="C12" s="26"/>
      <c r="D12" s="26"/>
      <c r="E12" s="26"/>
      <c r="F12" s="26"/>
      <c r="G12" s="26"/>
      <c r="L12" s="62"/>
      <c r="M12" s="62"/>
      <c r="N12" s="62"/>
      <c r="O12" s="62"/>
      <c r="P12" s="26"/>
      <c r="Q12" s="26"/>
      <c r="R12" s="26"/>
      <c r="S12" s="26"/>
      <c r="T12" s="455"/>
      <c r="U12" s="26"/>
    </row>
    <row r="13" spans="3:21" ht="13.2">
      <c r="C13" s="63" t="s">
        <v>9</v>
      </c>
      <c r="D13" s="63"/>
      <c r="E13" s="63" t="s">
        <v>10</v>
      </c>
      <c r="F13" s="63"/>
      <c r="I13" s="63" t="s">
        <v>11</v>
      </c>
      <c r="L13" s="64" t="s">
        <v>12</v>
      </c>
      <c r="M13" s="64"/>
      <c r="N13" s="64"/>
      <c r="O13" s="64"/>
      <c r="P13" s="22"/>
      <c r="Q13" s="64"/>
      <c r="R13" s="22"/>
      <c r="S13" s="64"/>
      <c r="U13" s="65"/>
    </row>
    <row r="14" spans="3:21" ht="13.2">
      <c r="C14" s="65"/>
      <c r="D14" s="65"/>
      <c r="E14" s="66" t="s">
        <v>447</v>
      </c>
      <c r="F14" s="66"/>
      <c r="I14" s="22"/>
      <c r="P14" s="22"/>
      <c r="R14" s="22"/>
      <c r="S14" s="63"/>
      <c r="T14" s="120"/>
      <c r="U14" s="65"/>
    </row>
    <row r="15" spans="1:21" ht="13.2">
      <c r="A15" s="20" t="s">
        <v>14</v>
      </c>
      <c r="C15" s="65"/>
      <c r="D15" s="65"/>
      <c r="E15" s="67" t="s">
        <v>24</v>
      </c>
      <c r="F15" s="67"/>
      <c r="I15" s="68" t="s">
        <v>23</v>
      </c>
      <c r="L15" s="68" t="s">
        <v>20</v>
      </c>
      <c r="M15" s="68"/>
      <c r="N15" s="68"/>
      <c r="O15" s="68"/>
      <c r="P15" s="22"/>
      <c r="R15" s="26"/>
      <c r="S15" s="69"/>
      <c r="T15" s="120"/>
      <c r="U15" s="65"/>
    </row>
    <row r="16" spans="1:21" ht="13.2">
      <c r="A16" s="20" t="s">
        <v>16</v>
      </c>
      <c r="C16" s="70"/>
      <c r="D16" s="70"/>
      <c r="E16" s="22"/>
      <c r="F16" s="22"/>
      <c r="I16" s="22"/>
      <c r="L16" s="22"/>
      <c r="M16" s="22"/>
      <c r="N16" s="22"/>
      <c r="O16" s="22"/>
      <c r="P16" s="22"/>
      <c r="Q16" s="22"/>
      <c r="R16" s="26"/>
      <c r="S16" s="22"/>
      <c r="U16" s="65"/>
    </row>
    <row r="17" spans="1:21" ht="13.2">
      <c r="A17" s="71"/>
      <c r="C17" s="65"/>
      <c r="D17" s="65"/>
      <c r="E17" s="22"/>
      <c r="F17" s="22"/>
      <c r="I17" s="22"/>
      <c r="L17" s="22"/>
      <c r="M17" s="22"/>
      <c r="N17" s="22"/>
      <c r="O17" s="22"/>
      <c r="P17" s="22"/>
      <c r="Q17" s="22"/>
      <c r="R17" s="26"/>
      <c r="S17" s="22"/>
      <c r="U17" s="65"/>
    </row>
    <row r="18" spans="1:21" ht="13.2">
      <c r="A18" s="23">
        <v>1</v>
      </c>
      <c r="C18" s="65" t="s">
        <v>160</v>
      </c>
      <c r="D18" s="65"/>
      <c r="E18" s="72" t="s">
        <v>721</v>
      </c>
      <c r="F18" s="23"/>
      <c r="I18" s="52">
        <f>+'Attachment H'!I64</f>
        <v>2486171.48</v>
      </c>
      <c r="P18" s="22"/>
      <c r="Q18" s="22"/>
      <c r="R18" s="26"/>
      <c r="S18" s="22"/>
      <c r="U18" s="65"/>
    </row>
    <row r="19" spans="1:21" ht="13.2">
      <c r="A19" s="23">
        <v>2</v>
      </c>
      <c r="C19" s="65" t="s">
        <v>161</v>
      </c>
      <c r="D19" s="65"/>
      <c r="E19" s="72" t="s">
        <v>590</v>
      </c>
      <c r="F19" s="23"/>
      <c r="I19" s="52">
        <f>+'Attachment H'!I80+'Attachment H'!I93+'Attachment H'!I95</f>
        <v>322079.70988596091</v>
      </c>
      <c r="P19" s="22"/>
      <c r="Q19" s="22"/>
      <c r="R19" s="26"/>
      <c r="S19" s="22"/>
      <c r="U19" s="65"/>
    </row>
    <row r="20" spans="1:21" ht="13.2">
      <c r="A20" s="23"/>
      <c r="E20" s="72"/>
      <c r="F20" s="23"/>
      <c r="P20" s="22"/>
      <c r="Q20" s="22"/>
      <c r="R20" s="26"/>
      <c r="S20" s="22"/>
      <c r="U20" s="65"/>
    </row>
    <row r="21" spans="1:21" ht="13.2">
      <c r="A21" s="23"/>
      <c r="C21" s="65" t="s">
        <v>162</v>
      </c>
      <c r="D21" s="65"/>
      <c r="E21" s="72"/>
      <c r="F21" s="23"/>
      <c r="I21" s="22"/>
      <c r="L21" s="22"/>
      <c r="M21" s="22"/>
      <c r="N21" s="22"/>
      <c r="O21" s="22"/>
      <c r="P21" s="22"/>
      <c r="Q21" s="22"/>
      <c r="R21" s="22"/>
      <c r="S21" s="22"/>
      <c r="U21" s="65"/>
    </row>
    <row r="22" spans="1:21" ht="13.2">
      <c r="A22" s="23">
        <v>3</v>
      </c>
      <c r="C22" s="65" t="s">
        <v>163</v>
      </c>
      <c r="D22" s="65"/>
      <c r="E22" s="72" t="s">
        <v>3</v>
      </c>
      <c r="F22" s="23"/>
      <c r="I22" s="73">
        <f>+'Attachment H'!I134</f>
        <v>434438.98248000001</v>
      </c>
      <c r="P22" s="22"/>
      <c r="Q22" s="22"/>
      <c r="R22" s="22"/>
      <c r="S22" s="22"/>
      <c r="U22" s="65"/>
    </row>
    <row r="23" spans="1:21" ht="13.2">
      <c r="A23" s="23">
        <v>4</v>
      </c>
      <c r="C23" s="65" t="s">
        <v>164</v>
      </c>
      <c r="D23" s="65"/>
      <c r="E23" s="72" t="s">
        <v>165</v>
      </c>
      <c r="F23" s="23"/>
      <c r="I23" s="552">
        <f>IF(I18=0,0,I22/I18)</f>
        <v>0.17474216319141431</v>
      </c>
      <c r="L23" s="553">
        <f>I23</f>
        <v>0.17474216319141431</v>
      </c>
      <c r="M23" s="74"/>
      <c r="N23" s="74"/>
      <c r="O23" s="74"/>
      <c r="P23" s="22"/>
      <c r="Q23" s="75"/>
      <c r="R23" s="76"/>
      <c r="S23" s="77"/>
      <c r="U23" s="65"/>
    </row>
    <row r="24" spans="1:21" ht="13.2">
      <c r="A24" s="23"/>
      <c r="C24" s="65"/>
      <c r="D24" s="65"/>
      <c r="E24" s="72"/>
      <c r="F24" s="23"/>
      <c r="I24" s="78"/>
      <c r="L24" s="74"/>
      <c r="M24" s="74"/>
      <c r="N24" s="74"/>
      <c r="O24" s="74"/>
      <c r="P24" s="22"/>
      <c r="Q24" s="75"/>
      <c r="R24" s="76"/>
      <c r="S24" s="77"/>
      <c r="U24" s="65"/>
    </row>
    <row r="25" spans="1:21" ht="13.2">
      <c r="A25" s="64"/>
      <c r="C25" s="65" t="s">
        <v>586</v>
      </c>
      <c r="D25" s="65"/>
      <c r="E25" s="290"/>
      <c r="F25" s="55"/>
      <c r="I25" s="22"/>
      <c r="L25" s="22"/>
      <c r="M25" s="22"/>
      <c r="N25" s="22"/>
      <c r="O25" s="22"/>
      <c r="P25" s="22"/>
      <c r="Q25" s="75"/>
      <c r="R25" s="76"/>
      <c r="S25" s="77"/>
      <c r="U25" s="65"/>
    </row>
    <row r="26" spans="1:21" ht="13.2">
      <c r="A26" s="64" t="s">
        <v>166</v>
      </c>
      <c r="C26" s="65" t="s">
        <v>588</v>
      </c>
      <c r="D26" s="65"/>
      <c r="E26" s="72" t="s">
        <v>4</v>
      </c>
      <c r="F26" s="23"/>
      <c r="I26" s="73">
        <f>+'Attachment H'!I138+'Attachment H'!I139</f>
        <v>0</v>
      </c>
      <c r="P26" s="22"/>
      <c r="Q26" s="75"/>
      <c r="R26" s="76"/>
      <c r="S26" s="77"/>
      <c r="U26" s="65"/>
    </row>
    <row r="27" spans="1:21" ht="13.2">
      <c r="A27" s="64" t="s">
        <v>167</v>
      </c>
      <c r="C27" s="65" t="s">
        <v>587</v>
      </c>
      <c r="D27" s="65"/>
      <c r="E27" s="72" t="s">
        <v>168</v>
      </c>
      <c r="F27" s="23"/>
      <c r="I27" s="53">
        <f>IF(I26=0,0,I26/I18)</f>
        <v>0</v>
      </c>
      <c r="J27" s="53"/>
      <c r="K27" s="53"/>
      <c r="L27" s="79">
        <f>I27</f>
        <v>0</v>
      </c>
      <c r="M27" s="74"/>
      <c r="N27" s="74"/>
      <c r="O27" s="74"/>
      <c r="P27" s="22"/>
      <c r="Q27" s="75"/>
      <c r="R27" s="76"/>
      <c r="S27" s="77"/>
      <c r="U27" s="65"/>
    </row>
    <row r="28" spans="1:21" ht="13.2">
      <c r="A28" s="23"/>
      <c r="C28" s="65"/>
      <c r="D28" s="65"/>
      <c r="E28" s="72"/>
      <c r="F28" s="23"/>
      <c r="I28" s="53"/>
      <c r="J28" s="53"/>
      <c r="K28" s="53"/>
      <c r="L28" s="79"/>
      <c r="M28" s="74"/>
      <c r="N28" s="74"/>
      <c r="O28" s="74"/>
      <c r="P28" s="22"/>
      <c r="Q28" s="75"/>
      <c r="R28" s="76"/>
      <c r="S28" s="77"/>
      <c r="U28" s="65"/>
    </row>
    <row r="29" spans="1:21" ht="13.2">
      <c r="A29" s="64"/>
      <c r="C29" s="65" t="s">
        <v>169</v>
      </c>
      <c r="D29" s="65"/>
      <c r="E29" s="290"/>
      <c r="F29" s="55"/>
      <c r="I29" s="53"/>
      <c r="J29" s="53"/>
      <c r="K29" s="53"/>
      <c r="L29" s="53"/>
      <c r="M29" s="22"/>
      <c r="N29" s="22"/>
      <c r="O29" s="22"/>
      <c r="P29" s="22"/>
      <c r="Q29" s="22"/>
      <c r="R29" s="22"/>
      <c r="S29" s="22"/>
      <c r="U29" s="65"/>
    </row>
    <row r="30" spans="1:21" ht="13.2">
      <c r="A30" s="64" t="s">
        <v>170</v>
      </c>
      <c r="C30" s="65" t="s">
        <v>171</v>
      </c>
      <c r="D30" s="65"/>
      <c r="E30" s="72" t="s">
        <v>562</v>
      </c>
      <c r="F30" s="23"/>
      <c r="I30" s="53">
        <f>+'Attachment H'!I152</f>
        <v>1431.3251070522319</v>
      </c>
      <c r="J30" s="53"/>
      <c r="K30" s="53"/>
      <c r="L30" s="53"/>
      <c r="P30" s="22"/>
      <c r="Q30" s="69"/>
      <c r="R30" s="22"/>
      <c r="S30" s="23"/>
      <c r="T30" s="120"/>
      <c r="U30" s="65"/>
    </row>
    <row r="31" spans="1:21" ht="13.2">
      <c r="A31" s="64" t="s">
        <v>172</v>
      </c>
      <c r="C31" s="65" t="s">
        <v>173</v>
      </c>
      <c r="D31" s="65"/>
      <c r="E31" s="72" t="s">
        <v>174</v>
      </c>
      <c r="F31" s="23"/>
      <c r="I31" s="53">
        <f>IF(I30=0,0,I30/I18)</f>
        <v>0.0005757145549156698</v>
      </c>
      <c r="J31" s="53"/>
      <c r="K31" s="53"/>
      <c r="L31" s="79">
        <f>I31</f>
        <v>0.0005757145549156698</v>
      </c>
      <c r="M31" s="74"/>
      <c r="N31" s="74"/>
      <c r="O31" s="74"/>
      <c r="P31" s="22"/>
      <c r="Q31" s="75"/>
      <c r="R31" s="22"/>
      <c r="S31" s="77"/>
      <c r="T31" s="120"/>
      <c r="U31" s="65"/>
    </row>
    <row r="32" spans="1:21" ht="13.2">
      <c r="A32" s="64"/>
      <c r="C32" s="65"/>
      <c r="D32" s="65"/>
      <c r="E32" s="72"/>
      <c r="F32" s="23"/>
      <c r="I32" s="22"/>
      <c r="L32" s="22"/>
      <c r="M32" s="22"/>
      <c r="N32" s="22"/>
      <c r="O32" s="22"/>
      <c r="P32" s="22"/>
      <c r="U32" s="65"/>
    </row>
    <row r="33" spans="1:21" ht="13.2">
      <c r="A33" s="64" t="s">
        <v>175</v>
      </c>
      <c r="C33" s="65" t="s">
        <v>222</v>
      </c>
      <c r="D33" s="65"/>
      <c r="E33" s="72" t="s">
        <v>5</v>
      </c>
      <c r="F33" s="23"/>
      <c r="I33" s="52">
        <f>-'Attachment H'!I19</f>
        <v>0</v>
      </c>
      <c r="L33" s="22"/>
      <c r="M33" s="22"/>
      <c r="N33" s="22"/>
      <c r="O33" s="22"/>
      <c r="P33" s="22"/>
      <c r="U33" s="65"/>
    </row>
    <row r="34" spans="1:21" ht="13.2">
      <c r="A34" s="64" t="s">
        <v>178</v>
      </c>
      <c r="C34" s="65" t="s">
        <v>553</v>
      </c>
      <c r="D34" s="65"/>
      <c r="E34" s="72" t="s">
        <v>216</v>
      </c>
      <c r="F34" s="23"/>
      <c r="I34" s="80">
        <f>IF(L18=0,0,I33/I18)</f>
        <v>0</v>
      </c>
      <c r="L34" s="53">
        <f>+I34</f>
        <v>0</v>
      </c>
      <c r="M34" s="22"/>
      <c r="N34" s="22"/>
      <c r="O34" s="22"/>
      <c r="P34" s="22"/>
      <c r="U34" s="65"/>
    </row>
    <row r="35" spans="1:21" ht="13.2">
      <c r="A35" s="64"/>
      <c r="C35" s="65"/>
      <c r="D35" s="65"/>
      <c r="E35" s="72"/>
      <c r="F35" s="23"/>
      <c r="I35" s="22"/>
      <c r="L35" s="22"/>
      <c r="M35" s="22"/>
      <c r="N35" s="22"/>
      <c r="O35" s="22"/>
      <c r="P35" s="22"/>
      <c r="U35" s="65"/>
    </row>
    <row r="36" spans="1:21" ht="13.2">
      <c r="A36" s="81" t="s">
        <v>179</v>
      </c>
      <c r="B36" s="82"/>
      <c r="C36" s="70" t="s">
        <v>176</v>
      </c>
      <c r="D36" s="70"/>
      <c r="E36" s="83" t="s">
        <v>217</v>
      </c>
      <c r="F36" s="66"/>
      <c r="I36" s="76"/>
      <c r="L36" s="554">
        <f>L23+L27+L31+L34</f>
        <v>0.17531787774632998</v>
      </c>
      <c r="M36" s="85"/>
      <c r="N36" s="85"/>
      <c r="O36" s="85"/>
      <c r="P36" s="22"/>
      <c r="U36" s="65"/>
    </row>
    <row r="37" spans="1:21" ht="13.2">
      <c r="A37" s="64"/>
      <c r="C37" s="65"/>
      <c r="D37" s="65"/>
      <c r="E37" s="72"/>
      <c r="F37" s="23"/>
      <c r="I37" s="22"/>
      <c r="L37" s="22"/>
      <c r="M37" s="22"/>
      <c r="N37" s="22"/>
      <c r="O37" s="22"/>
      <c r="P37" s="22"/>
      <c r="Q37" s="22"/>
      <c r="R37" s="22"/>
      <c r="S37" s="86"/>
      <c r="U37" s="65"/>
    </row>
    <row r="38" spans="1:21" ht="13.2">
      <c r="A38" s="64"/>
      <c r="B38" s="87"/>
      <c r="C38" s="22" t="s">
        <v>177</v>
      </c>
      <c r="D38" s="22"/>
      <c r="E38" s="72"/>
      <c r="F38" s="23"/>
      <c r="I38" s="22"/>
      <c r="L38" s="22"/>
      <c r="M38" s="22"/>
      <c r="N38" s="22"/>
      <c r="O38" s="22"/>
      <c r="P38" s="88"/>
      <c r="Q38" s="87"/>
      <c r="T38" s="120"/>
      <c r="U38" s="22" t="s">
        <v>8</v>
      </c>
    </row>
    <row r="39" spans="1:21" ht="13.2">
      <c r="A39" s="64" t="s">
        <v>181</v>
      </c>
      <c r="B39" s="87"/>
      <c r="C39" s="22" t="s">
        <v>50</v>
      </c>
      <c r="D39" s="22"/>
      <c r="E39" s="72" t="s">
        <v>563</v>
      </c>
      <c r="F39" s="23"/>
      <c r="I39" s="52">
        <f>+'Attachment H'!I167</f>
        <v>-85930.854682009507</v>
      </c>
      <c r="L39" s="22"/>
      <c r="M39" s="22"/>
      <c r="N39" s="22"/>
      <c r="O39" s="22"/>
      <c r="P39" s="88"/>
      <c r="Q39" s="87"/>
      <c r="T39" s="120"/>
      <c r="U39" s="22"/>
    </row>
    <row r="40" spans="1:21" ht="13.2">
      <c r="A40" s="64" t="s">
        <v>183</v>
      </c>
      <c r="B40" s="87"/>
      <c r="C40" s="22" t="s">
        <v>180</v>
      </c>
      <c r="D40" s="22"/>
      <c r="E40" s="72" t="s">
        <v>185</v>
      </c>
      <c r="F40" s="23"/>
      <c r="I40" s="53">
        <f>IF(I19=0,0,I39/I19)</f>
        <v>-0.26679996300429831</v>
      </c>
      <c r="L40" s="79">
        <f>I40</f>
        <v>-0.26679996300429831</v>
      </c>
      <c r="M40" s="74"/>
      <c r="N40" s="74"/>
      <c r="O40" s="74"/>
      <c r="P40" s="88"/>
      <c r="Q40" s="87"/>
      <c r="R40" s="22"/>
      <c r="S40" s="22"/>
      <c r="T40" s="120"/>
      <c r="U40" s="22"/>
    </row>
    <row r="41" spans="1:21" ht="13.2">
      <c r="A41" s="64"/>
      <c r="C41" s="22"/>
      <c r="D41" s="22"/>
      <c r="E41" s="72"/>
      <c r="F41" s="23"/>
      <c r="I41" s="22"/>
      <c r="L41" s="22"/>
      <c r="M41" s="22"/>
      <c r="N41" s="22"/>
      <c r="O41" s="22"/>
      <c r="P41" s="22"/>
      <c r="R41" s="26"/>
      <c r="S41" s="22"/>
      <c r="T41" s="455"/>
      <c r="U41" s="65"/>
    </row>
    <row r="42" spans="1:21" ht="13.2">
      <c r="A42" s="64"/>
      <c r="C42" s="65" t="s">
        <v>51</v>
      </c>
      <c r="D42" s="65"/>
      <c r="E42" s="89"/>
      <c r="F42" s="90"/>
      <c r="P42" s="22"/>
      <c r="R42" s="22"/>
      <c r="S42" s="22"/>
      <c r="U42" s="65"/>
    </row>
    <row r="43" spans="1:21" ht="13.2">
      <c r="A43" s="64" t="s">
        <v>186</v>
      </c>
      <c r="C43" s="65" t="s">
        <v>182</v>
      </c>
      <c r="D43" s="65"/>
      <c r="E43" s="72" t="s">
        <v>564</v>
      </c>
      <c r="F43" s="23"/>
      <c r="I43" s="52">
        <f>+'Attachment H'!I170</f>
        <v>20776.522353807206</v>
      </c>
      <c r="L43" s="22"/>
      <c r="M43" s="22"/>
      <c r="N43" s="22"/>
      <c r="O43" s="22"/>
      <c r="P43" s="22"/>
      <c r="R43" s="22"/>
      <c r="S43" s="22"/>
      <c r="U43" s="65"/>
    </row>
    <row r="44" spans="1:21" ht="13.2">
      <c r="A44" s="64" t="s">
        <v>214</v>
      </c>
      <c r="B44" s="87"/>
      <c r="C44" s="22" t="s">
        <v>184</v>
      </c>
      <c r="D44" s="22"/>
      <c r="E44" s="72" t="s">
        <v>589</v>
      </c>
      <c r="F44" s="23"/>
      <c r="I44" s="53">
        <f>IF(I19=0,0,I43/I19)</f>
        <v>0.064507392785356055</v>
      </c>
      <c r="L44" s="79">
        <f>I44</f>
        <v>0.064507392785356055</v>
      </c>
      <c r="M44" s="74"/>
      <c r="N44" s="74"/>
      <c r="O44" s="74"/>
      <c r="P44" s="22"/>
      <c r="S44" s="91"/>
      <c r="T44" s="120"/>
      <c r="U44" s="22"/>
    </row>
    <row r="45" spans="1:21" ht="13.2">
      <c r="A45" s="64"/>
      <c r="C45" s="65"/>
      <c r="D45" s="65"/>
      <c r="E45" s="72"/>
      <c r="F45" s="23"/>
      <c r="I45" s="22"/>
      <c r="L45" s="22"/>
      <c r="M45" s="22"/>
      <c r="N45" s="22"/>
      <c r="O45" s="22"/>
      <c r="P45" s="22"/>
      <c r="Q45" s="90"/>
      <c r="R45" s="22"/>
      <c r="S45" s="22"/>
      <c r="U45" s="65"/>
    </row>
    <row r="46" spans="1:21" ht="13.2">
      <c r="A46" s="81" t="s">
        <v>215</v>
      </c>
      <c r="B46" s="82"/>
      <c r="C46" s="70" t="s">
        <v>187</v>
      </c>
      <c r="D46" s="70"/>
      <c r="E46" s="83" t="s">
        <v>218</v>
      </c>
      <c r="F46" s="66"/>
      <c r="I46" s="53">
        <f>+I44+I40</f>
        <v>-0.20229257021894226</v>
      </c>
      <c r="L46" s="84">
        <f>L40+L44</f>
        <v>-0.20229257021894226</v>
      </c>
      <c r="M46" s="85"/>
      <c r="N46" s="85"/>
      <c r="O46" s="85"/>
      <c r="P46" s="22"/>
      <c r="Q46" s="90"/>
      <c r="R46" s="22"/>
      <c r="S46" s="22"/>
      <c r="U46" s="65"/>
    </row>
    <row r="47" spans="16:21" ht="13.2">
      <c r="P47" s="92"/>
      <c r="Q47" s="92"/>
      <c r="R47" s="22"/>
      <c r="S47" s="22"/>
      <c r="U47" s="65"/>
    </row>
    <row r="48" spans="16:21" ht="13.2">
      <c r="P48" s="92"/>
      <c r="Q48" s="92"/>
      <c r="R48" s="22"/>
      <c r="S48" s="22"/>
      <c r="U48" s="65"/>
    </row>
    <row r="49" spans="1:21" ht="13.2">
      <c r="A49" s="93"/>
      <c r="C49" s="64"/>
      <c r="D49" s="64"/>
      <c r="E49" s="55"/>
      <c r="F49" s="55"/>
      <c r="G49" s="22"/>
      <c r="J49" s="78"/>
      <c r="P49" s="22"/>
      <c r="Q49" s="75"/>
      <c r="R49" s="94"/>
      <c r="S49" s="22"/>
      <c r="T49" s="120"/>
      <c r="U49" s="22"/>
    </row>
    <row r="50" spans="1:21" ht="13.2">
      <c r="A50" s="20"/>
      <c r="G50" s="22"/>
      <c r="P50" s="22"/>
      <c r="Q50" s="22"/>
      <c r="R50" s="22"/>
      <c r="S50" s="22"/>
      <c r="T50" s="120"/>
      <c r="U50" s="22" t="s">
        <v>8</v>
      </c>
    </row>
    <row r="51" spans="17:17" ht="13.2">
      <c r="Q51" s="56"/>
    </row>
    <row r="52" spans="17:17" ht="13.2">
      <c r="Q52" s="56"/>
    </row>
    <row r="53" ht="13.2"/>
    <row r="54" spans="1:21" ht="13.2">
      <c r="A54" s="20"/>
      <c r="G54" s="22"/>
      <c r="P54" s="22"/>
      <c r="Q54" s="56"/>
      <c r="R54" s="22"/>
      <c r="S54" s="26"/>
      <c r="U54" s="65"/>
    </row>
    <row r="55" spans="1:21" ht="13.2">
      <c r="A55" s="20"/>
      <c r="C55" s="65"/>
      <c r="D55" s="65"/>
      <c r="G55" s="55" t="str">
        <f>+G5</f>
        <v>Attachment 1</v>
      </c>
      <c r="H55" s="55"/>
      <c r="P55" s="22"/>
      <c r="Q55" s="56"/>
      <c r="R55" s="22"/>
      <c r="S55" s="25" t="s">
        <v>188</v>
      </c>
      <c r="U55" s="65"/>
    </row>
    <row r="56" spans="1:21" ht="13.2">
      <c r="A56" s="20"/>
      <c r="C56" s="65"/>
      <c r="D56" s="65"/>
      <c r="G56" s="55" t="str">
        <f>+G6</f>
        <v>Project Revenue Requirement Worksheet</v>
      </c>
      <c r="H56" s="55"/>
      <c r="L56" s="22"/>
      <c r="M56" s="22"/>
      <c r="N56" s="22"/>
      <c r="O56" s="22"/>
      <c r="P56" s="22"/>
      <c r="R56" s="22"/>
      <c r="S56" s="26"/>
      <c r="U56" s="65"/>
    </row>
    <row r="57" spans="1:21" ht="14.25" customHeight="1">
      <c r="A57" s="20"/>
      <c r="G57" s="654" t="str">
        <f>'Attachment H'!$D$5</f>
        <v>NextEra Energy Transmission MidAtlantic Indiana, Inc.</v>
      </c>
      <c r="P57" s="22"/>
      <c r="R57" s="22"/>
      <c r="S57" s="26"/>
      <c r="U57" s="65"/>
    </row>
    <row r="58" spans="1:21" ht="13.2">
      <c r="A58" s="20"/>
      <c r="H58" s="55"/>
      <c r="P58" s="22"/>
      <c r="Q58" s="22"/>
      <c r="R58" s="22"/>
      <c r="S58" s="26"/>
      <c r="U58" s="65"/>
    </row>
    <row r="59" spans="1:21" ht="13.2">
      <c r="A59" s="20"/>
      <c r="E59" s="65"/>
      <c r="F59" s="65"/>
      <c r="G59" s="65"/>
      <c r="H59" s="65"/>
      <c r="I59" s="65"/>
      <c r="J59" s="65"/>
      <c r="K59" s="65"/>
      <c r="L59" s="65"/>
      <c r="M59" s="65"/>
      <c r="N59" s="65"/>
      <c r="O59" s="65"/>
      <c r="P59" s="65"/>
      <c r="Q59" s="65"/>
      <c r="R59" s="22"/>
      <c r="S59" s="26"/>
      <c r="U59" s="65"/>
    </row>
    <row r="60" spans="1:21" ht="13.2">
      <c r="A60" s="20"/>
      <c r="E60" s="70"/>
      <c r="F60" s="70"/>
      <c r="H60" s="26"/>
      <c r="I60" s="26"/>
      <c r="J60" s="26"/>
      <c r="K60" s="26"/>
      <c r="L60" s="26"/>
      <c r="M60" s="26"/>
      <c r="N60" s="26"/>
      <c r="O60" s="26"/>
      <c r="P60" s="22"/>
      <c r="Q60" s="22"/>
      <c r="R60" s="22"/>
      <c r="S60" s="26"/>
      <c r="U60" s="65"/>
    </row>
    <row r="61" spans="1:21" ht="13.2">
      <c r="A61" s="20"/>
      <c r="E61" s="70"/>
      <c r="F61" s="70"/>
      <c r="H61" s="26"/>
      <c r="I61" s="26"/>
      <c r="J61" s="26"/>
      <c r="K61" s="26"/>
      <c r="L61" s="26"/>
      <c r="M61" s="26"/>
      <c r="N61" s="26"/>
      <c r="O61" s="26"/>
      <c r="P61" s="22"/>
      <c r="Q61" s="22"/>
      <c r="R61" s="22"/>
      <c r="S61" s="26"/>
      <c r="U61" s="65"/>
    </row>
    <row r="62" spans="1:21" ht="13.2">
      <c r="A62" s="20"/>
      <c r="C62" s="95">
        <v>-1</v>
      </c>
      <c r="D62" s="95">
        <v>-2</v>
      </c>
      <c r="E62" s="95">
        <v>-3</v>
      </c>
      <c r="F62" s="95">
        <v>-4</v>
      </c>
      <c r="G62" s="95">
        <v>-5</v>
      </c>
      <c r="H62" s="95">
        <v>-6</v>
      </c>
      <c r="I62" s="95">
        <v>-7</v>
      </c>
      <c r="J62" s="95">
        <v>-8</v>
      </c>
      <c r="K62" s="95">
        <v>-9</v>
      </c>
      <c r="L62" s="95">
        <v>-10</v>
      </c>
      <c r="M62" s="95">
        <v>-11</v>
      </c>
      <c r="N62" s="95">
        <v>-12</v>
      </c>
      <c r="O62" s="95" t="s">
        <v>487</v>
      </c>
      <c r="P62" s="95">
        <v>-13</v>
      </c>
      <c r="Q62" s="288" t="s">
        <v>404</v>
      </c>
      <c r="R62" s="288" t="s">
        <v>405</v>
      </c>
      <c r="S62" s="288" t="s">
        <v>437</v>
      </c>
      <c r="U62" s="65"/>
    </row>
    <row r="63" spans="1:21" ht="53.25" customHeight="1">
      <c r="A63" s="96" t="s">
        <v>189</v>
      </c>
      <c r="B63" s="97"/>
      <c r="C63" s="624" t="s">
        <v>776</v>
      </c>
      <c r="D63" s="98" t="s">
        <v>773</v>
      </c>
      <c r="E63" s="99" t="s">
        <v>190</v>
      </c>
      <c r="F63" s="99" t="s">
        <v>176</v>
      </c>
      <c r="G63" s="100" t="s">
        <v>191</v>
      </c>
      <c r="H63" s="99" t="s">
        <v>720</v>
      </c>
      <c r="I63" s="99" t="s">
        <v>187</v>
      </c>
      <c r="J63" s="100" t="s">
        <v>192</v>
      </c>
      <c r="K63" s="99" t="s">
        <v>219</v>
      </c>
      <c r="L63" s="101" t="s">
        <v>193</v>
      </c>
      <c r="M63" s="101" t="s">
        <v>221</v>
      </c>
      <c r="N63" s="101" t="s">
        <v>220</v>
      </c>
      <c r="O63" s="101" t="s">
        <v>485</v>
      </c>
      <c r="P63" s="101" t="s">
        <v>794</v>
      </c>
      <c r="Q63" s="101" t="s">
        <v>229</v>
      </c>
      <c r="R63" s="101" t="s">
        <v>194</v>
      </c>
      <c r="S63" s="101" t="s">
        <v>594</v>
      </c>
      <c r="U63" s="65"/>
    </row>
    <row r="64" spans="1:21" ht="46.5" customHeight="1">
      <c r="A64" s="102"/>
      <c r="B64" s="103"/>
      <c r="C64" s="103"/>
      <c r="D64" s="103"/>
      <c r="E64" s="104" t="s">
        <v>128</v>
      </c>
      <c r="F64" s="104" t="s">
        <v>420</v>
      </c>
      <c r="G64" s="105" t="s">
        <v>195</v>
      </c>
      <c r="H64" s="104" t="s">
        <v>483</v>
      </c>
      <c r="I64" s="104" t="s">
        <v>421</v>
      </c>
      <c r="J64" s="105" t="s">
        <v>196</v>
      </c>
      <c r="K64" s="104" t="s">
        <v>484</v>
      </c>
      <c r="L64" s="105" t="s">
        <v>197</v>
      </c>
      <c r="M64" s="104" t="s">
        <v>472</v>
      </c>
      <c r="N64" s="429" t="s">
        <v>593</v>
      </c>
      <c r="O64" s="106" t="s">
        <v>486</v>
      </c>
      <c r="P64" s="320" t="s">
        <v>440</v>
      </c>
      <c r="Q64" s="106" t="s">
        <v>438</v>
      </c>
      <c r="R64" s="107" t="s">
        <v>198</v>
      </c>
      <c r="S64" s="106" t="s">
        <v>439</v>
      </c>
      <c r="U64" s="65"/>
    </row>
    <row r="65" spans="1:21" ht="13.2">
      <c r="A65" s="108"/>
      <c r="B65" s="26"/>
      <c r="C65" s="26"/>
      <c r="D65" s="26"/>
      <c r="E65" s="26"/>
      <c r="F65" s="26"/>
      <c r="G65" s="109"/>
      <c r="H65" s="26"/>
      <c r="I65" s="26"/>
      <c r="J65" s="109"/>
      <c r="K65" s="26"/>
      <c r="L65" s="109"/>
      <c r="M65" s="427"/>
      <c r="N65" s="109"/>
      <c r="O65" s="109"/>
      <c r="P65" s="26"/>
      <c r="Q65" s="319"/>
      <c r="R65" s="22"/>
      <c r="S65" s="110"/>
      <c r="U65" s="65"/>
    </row>
    <row r="66" spans="1:19" ht="13.2">
      <c r="A66" s="111" t="s">
        <v>549</v>
      </c>
      <c r="B66" s="112"/>
      <c r="C66" s="113" t="s">
        <v>844</v>
      </c>
      <c r="D66" s="114"/>
      <c r="E66" s="115">
        <f>+'4- Rate Base'!C24</f>
        <v>2486171.48</v>
      </c>
      <c r="F66" s="53">
        <f t="shared" si="0" ref="F66:F84">$L$36</f>
        <v>0.17531787774632998</v>
      </c>
      <c r="G66" s="116">
        <f t="shared" si="1" ref="G66:G84">E66*F66</f>
        <v>435870.30758705229</v>
      </c>
      <c r="H66" s="115">
        <f>+'4- Rate Base'!C24-'4- Rate Base'!I24</f>
        <v>322079.70988596091</v>
      </c>
      <c r="I66" s="53">
        <f>$L$46</f>
        <v>-0.20229257021894226</v>
      </c>
      <c r="J66" s="390">
        <f>H66*I66</f>
        <v>-65154.332328202298</v>
      </c>
      <c r="K66" s="205">
        <f>+'5-P3 Support'!M24</f>
        <v>58105.89906199999</v>
      </c>
      <c r="L66" s="390">
        <f>G66+J66+K66</f>
        <v>428821.87432084995</v>
      </c>
      <c r="M66" s="428">
        <v>0</v>
      </c>
      <c r="N66" s="390">
        <f>+'2-Incentive ROE'!K$40*'1-Project Rev Req'!M66/100</f>
        <v>0</v>
      </c>
      <c r="O66" s="390">
        <f>+L66+N66</f>
        <v>428821.87432084995</v>
      </c>
      <c r="P66" s="205">
        <v>0</v>
      </c>
      <c r="Q66" s="390">
        <f t="shared" si="2" ref="Q66:Q84">+L66+N66-P66</f>
        <v>428821.87432084995</v>
      </c>
      <c r="R66" s="205">
        <f>'3-Project True-up'!K18</f>
        <v>-106606.22595218122</v>
      </c>
      <c r="S66" s="390">
        <f>+Q66+R66</f>
        <v>322215.64836866874</v>
      </c>
    </row>
    <row r="67" spans="1:19" ht="13.2">
      <c r="A67" s="111" t="s">
        <v>550</v>
      </c>
      <c r="B67" s="112"/>
      <c r="C67" s="113"/>
      <c r="D67" s="114"/>
      <c r="E67" s="115">
        <v>0</v>
      </c>
      <c r="F67" s="53">
        <f>$L$36</f>
        <v>0.17531787774632998</v>
      </c>
      <c r="G67" s="116">
        <f>E67*F67</f>
        <v>0</v>
      </c>
      <c r="H67" s="115">
        <f>+'4- Rate Base'!E24</f>
        <v>0</v>
      </c>
      <c r="I67" s="53">
        <f t="shared" si="3" ref="I67:I84">$L$46</f>
        <v>-0.20229257021894226</v>
      </c>
      <c r="J67" s="390">
        <f t="shared" si="4" ref="J67:J84">H67*I67</f>
        <v>0</v>
      </c>
      <c r="K67" s="205">
        <v>0</v>
      </c>
      <c r="L67" s="390">
        <f t="shared" si="5" ref="L67:L84">G67+J67+K67</f>
        <v>0</v>
      </c>
      <c r="M67" s="428">
        <v>0</v>
      </c>
      <c r="N67" s="390">
        <f>+'2-Incentive ROE'!K$40*'1-Project Rev Req'!M67/100</f>
        <v>0</v>
      </c>
      <c r="O67" s="390">
        <f t="shared" si="6" ref="O67:O84">+L67+N67</f>
        <v>0</v>
      </c>
      <c r="P67" s="205">
        <v>0</v>
      </c>
      <c r="Q67" s="390">
        <f>+L67+N67-P67</f>
        <v>0</v>
      </c>
      <c r="R67" s="205">
        <v>0</v>
      </c>
      <c r="S67" s="390">
        <f>+Q67+R67</f>
        <v>0</v>
      </c>
    </row>
    <row r="68" spans="1:19" ht="13.2">
      <c r="A68" s="111" t="s">
        <v>551</v>
      </c>
      <c r="B68" s="112"/>
      <c r="C68" s="113"/>
      <c r="D68" s="114"/>
      <c r="E68" s="115">
        <v>0</v>
      </c>
      <c r="F68" s="53">
        <f>$L$36</f>
        <v>0.17531787774632998</v>
      </c>
      <c r="G68" s="116">
        <f>E68*F68</f>
        <v>0</v>
      </c>
      <c r="H68" s="115">
        <v>0</v>
      </c>
      <c r="I68" s="53">
        <f>$L$46</f>
        <v>-0.20229257021894226</v>
      </c>
      <c r="J68" s="390">
        <f>H68*I68</f>
        <v>0</v>
      </c>
      <c r="K68" s="205">
        <v>0</v>
      </c>
      <c r="L68" s="390">
        <f>G68+J68+K68</f>
        <v>0</v>
      </c>
      <c r="M68" s="428">
        <v>0</v>
      </c>
      <c r="N68" s="390">
        <f>+'2-Incentive ROE'!K$40*'1-Project Rev Req'!M68/100</f>
        <v>0</v>
      </c>
      <c r="O68" s="390">
        <f>+L68+N68</f>
        <v>0</v>
      </c>
      <c r="P68" s="205">
        <v>0</v>
      </c>
      <c r="Q68" s="390">
        <f>+L68+N68-P68</f>
        <v>0</v>
      </c>
      <c r="R68" s="205">
        <v>0</v>
      </c>
      <c r="S68" s="390">
        <f>+Q68+R68</f>
        <v>0</v>
      </c>
    </row>
    <row r="69" spans="1:19" ht="13.2">
      <c r="A69" s="111"/>
      <c r="B69" s="112"/>
      <c r="C69" s="113"/>
      <c r="D69" s="114"/>
      <c r="E69" s="115">
        <v>0</v>
      </c>
      <c r="F69" s="53">
        <f>$L$36</f>
        <v>0.17531787774632998</v>
      </c>
      <c r="G69" s="116">
        <f>E69*F69</f>
        <v>0</v>
      </c>
      <c r="H69" s="115">
        <v>0</v>
      </c>
      <c r="I69" s="53">
        <f>$L$46</f>
        <v>-0.20229257021894226</v>
      </c>
      <c r="J69" s="390">
        <f>H69*I69</f>
        <v>0</v>
      </c>
      <c r="K69" s="205">
        <v>0</v>
      </c>
      <c r="L69" s="390">
        <f>G69+J69+K69</f>
        <v>0</v>
      </c>
      <c r="M69" s="428">
        <v>0</v>
      </c>
      <c r="N69" s="390">
        <f>+'2-Incentive ROE'!K$40*'1-Project Rev Req'!M69/100</f>
        <v>0</v>
      </c>
      <c r="O69" s="390">
        <f>+L69+N69</f>
        <v>0</v>
      </c>
      <c r="P69" s="205">
        <v>0</v>
      </c>
      <c r="Q69" s="390">
        <f>+L69+N69-P69</f>
        <v>0</v>
      </c>
      <c r="R69" s="205">
        <v>0</v>
      </c>
      <c r="S69" s="390">
        <f>+Q69+R69</f>
        <v>0</v>
      </c>
    </row>
    <row r="70" spans="1:19" ht="13.2">
      <c r="A70" s="111"/>
      <c r="B70" s="112"/>
      <c r="C70" s="113"/>
      <c r="D70" s="114"/>
      <c r="E70" s="115">
        <v>0</v>
      </c>
      <c r="F70" s="53">
        <f>$L$36</f>
        <v>0.17531787774632998</v>
      </c>
      <c r="G70" s="116">
        <f>E70*F70</f>
        <v>0</v>
      </c>
      <c r="H70" s="115">
        <v>0</v>
      </c>
      <c r="I70" s="53">
        <f>$L$46</f>
        <v>-0.20229257021894226</v>
      </c>
      <c r="J70" s="390">
        <f>H70*I70</f>
        <v>0</v>
      </c>
      <c r="K70" s="205">
        <v>0</v>
      </c>
      <c r="L70" s="390">
        <f>G70+J70+K70</f>
        <v>0</v>
      </c>
      <c r="M70" s="428">
        <v>0</v>
      </c>
      <c r="N70" s="390">
        <f>+'2-Incentive ROE'!K$40*'1-Project Rev Req'!M70/100</f>
        <v>0</v>
      </c>
      <c r="O70" s="390">
        <f>+L70+N70</f>
        <v>0</v>
      </c>
      <c r="P70" s="205">
        <v>0</v>
      </c>
      <c r="Q70" s="390">
        <f>+L70+N70-P70</f>
        <v>0</v>
      </c>
      <c r="R70" s="205">
        <v>0</v>
      </c>
      <c r="S70" s="390">
        <f>+Q70+R70</f>
        <v>0</v>
      </c>
    </row>
    <row r="71" spans="1:19" ht="13.2">
      <c r="A71" s="111"/>
      <c r="B71" s="112"/>
      <c r="C71" s="113"/>
      <c r="D71" s="114"/>
      <c r="E71" s="115">
        <v>0</v>
      </c>
      <c r="F71" s="53">
        <f>$L$36</f>
        <v>0.17531787774632998</v>
      </c>
      <c r="G71" s="116">
        <f>E71*F71</f>
        <v>0</v>
      </c>
      <c r="H71" s="115">
        <v>0</v>
      </c>
      <c r="I71" s="53">
        <f>$L$46</f>
        <v>-0.20229257021894226</v>
      </c>
      <c r="J71" s="390">
        <f>H71*I71</f>
        <v>0</v>
      </c>
      <c r="K71" s="205">
        <v>0</v>
      </c>
      <c r="L71" s="390">
        <f>G71+J71+K71</f>
        <v>0</v>
      </c>
      <c r="M71" s="428">
        <v>0</v>
      </c>
      <c r="N71" s="390">
        <f>+'2-Incentive ROE'!K$40*'1-Project Rev Req'!M71/100</f>
        <v>0</v>
      </c>
      <c r="O71" s="390">
        <f>+L71+N71</f>
        <v>0</v>
      </c>
      <c r="P71" s="205">
        <v>0</v>
      </c>
      <c r="Q71" s="390">
        <f>+L71+N71-P71</f>
        <v>0</v>
      </c>
      <c r="R71" s="205">
        <v>0</v>
      </c>
      <c r="S71" s="390">
        <f t="shared" si="7" ref="S71:S85">L71+R71</f>
        <v>0</v>
      </c>
    </row>
    <row r="72" spans="1:19" ht="13.2">
      <c r="A72" s="111"/>
      <c r="B72" s="112"/>
      <c r="C72" s="113"/>
      <c r="D72" s="114"/>
      <c r="E72" s="115">
        <v>0</v>
      </c>
      <c r="F72" s="53">
        <f>$L$36</f>
        <v>0.17531787774632998</v>
      </c>
      <c r="G72" s="116">
        <f>E72*F72</f>
        <v>0</v>
      </c>
      <c r="H72" s="115">
        <v>0</v>
      </c>
      <c r="I72" s="53">
        <f>$L$46</f>
        <v>-0.20229257021894226</v>
      </c>
      <c r="J72" s="390">
        <f>H72*I72</f>
        <v>0</v>
      </c>
      <c r="K72" s="205">
        <v>0</v>
      </c>
      <c r="L72" s="390">
        <f>G72+J72+K72</f>
        <v>0</v>
      </c>
      <c r="M72" s="428">
        <v>0</v>
      </c>
      <c r="N72" s="390">
        <f>+'2-Incentive ROE'!K$40*'1-Project Rev Req'!M72/100</f>
        <v>0</v>
      </c>
      <c r="O72" s="390">
        <f>+L72+N72</f>
        <v>0</v>
      </c>
      <c r="P72" s="205">
        <v>0</v>
      </c>
      <c r="Q72" s="390">
        <f>+L72+N72-P72</f>
        <v>0</v>
      </c>
      <c r="R72" s="205">
        <v>0</v>
      </c>
      <c r="S72" s="390">
        <f>L72+R72</f>
        <v>0</v>
      </c>
    </row>
    <row r="73" spans="1:19" ht="13.2">
      <c r="A73" s="111"/>
      <c r="B73" s="112"/>
      <c r="C73" s="113"/>
      <c r="D73" s="117"/>
      <c r="E73" s="115">
        <v>0</v>
      </c>
      <c r="F73" s="53">
        <f>$L$36</f>
        <v>0.17531787774632998</v>
      </c>
      <c r="G73" s="116">
        <f>E73*F73</f>
        <v>0</v>
      </c>
      <c r="H73" s="115">
        <v>0</v>
      </c>
      <c r="I73" s="53">
        <f>$L$46</f>
        <v>-0.20229257021894226</v>
      </c>
      <c r="J73" s="390">
        <f>H73*I73</f>
        <v>0</v>
      </c>
      <c r="K73" s="205">
        <v>0</v>
      </c>
      <c r="L73" s="390">
        <f>G73+J73+K73</f>
        <v>0</v>
      </c>
      <c r="M73" s="428">
        <v>0</v>
      </c>
      <c r="N73" s="390">
        <f>+'2-Incentive ROE'!K$40*'1-Project Rev Req'!M73/100</f>
        <v>0</v>
      </c>
      <c r="O73" s="390">
        <f>+L73+N73</f>
        <v>0</v>
      </c>
      <c r="P73" s="205">
        <v>0</v>
      </c>
      <c r="Q73" s="390">
        <f>+L73+N73-P73</f>
        <v>0</v>
      </c>
      <c r="R73" s="205">
        <v>0</v>
      </c>
      <c r="S73" s="390">
        <f>L73+R73</f>
        <v>0</v>
      </c>
    </row>
    <row r="74" spans="1:19" ht="13.2">
      <c r="A74" s="111"/>
      <c r="B74" s="112"/>
      <c r="C74" s="113"/>
      <c r="D74" s="114"/>
      <c r="E74" s="115">
        <v>0</v>
      </c>
      <c r="F74" s="53">
        <f>$L$36</f>
        <v>0.17531787774632998</v>
      </c>
      <c r="G74" s="116">
        <f>E74*F74</f>
        <v>0</v>
      </c>
      <c r="H74" s="115">
        <v>0</v>
      </c>
      <c r="I74" s="53">
        <f>$L$46</f>
        <v>-0.20229257021894226</v>
      </c>
      <c r="J74" s="390">
        <f>H74*I74</f>
        <v>0</v>
      </c>
      <c r="K74" s="205">
        <v>0</v>
      </c>
      <c r="L74" s="390">
        <f>G74+J74+K74</f>
        <v>0</v>
      </c>
      <c r="M74" s="428">
        <v>0</v>
      </c>
      <c r="N74" s="390">
        <f>+'2-Incentive ROE'!K$40*'1-Project Rev Req'!M74/100</f>
        <v>0</v>
      </c>
      <c r="O74" s="390">
        <f>+L74+N74</f>
        <v>0</v>
      </c>
      <c r="P74" s="205">
        <v>0</v>
      </c>
      <c r="Q74" s="390">
        <f>+L74+N74-P74</f>
        <v>0</v>
      </c>
      <c r="R74" s="205">
        <v>0</v>
      </c>
      <c r="S74" s="390">
        <f>L74+R74</f>
        <v>0</v>
      </c>
    </row>
    <row r="75" spans="1:19" ht="13.2">
      <c r="A75" s="111"/>
      <c r="B75" s="112"/>
      <c r="C75" s="113"/>
      <c r="D75" s="114"/>
      <c r="E75" s="115">
        <v>0</v>
      </c>
      <c r="F75" s="53">
        <f>$L$36</f>
        <v>0.17531787774632998</v>
      </c>
      <c r="G75" s="116">
        <f>E75*F75</f>
        <v>0</v>
      </c>
      <c r="H75" s="115">
        <v>0</v>
      </c>
      <c r="I75" s="53">
        <f>$L$46</f>
        <v>-0.20229257021894226</v>
      </c>
      <c r="J75" s="390">
        <f>H75*I75</f>
        <v>0</v>
      </c>
      <c r="K75" s="205">
        <v>0</v>
      </c>
      <c r="L75" s="390">
        <f>G75+J75+K75</f>
        <v>0</v>
      </c>
      <c r="M75" s="428">
        <v>0</v>
      </c>
      <c r="N75" s="390">
        <f>+'2-Incentive ROE'!K$40*'1-Project Rev Req'!M75/100</f>
        <v>0</v>
      </c>
      <c r="O75" s="390">
        <f>+L75+N75</f>
        <v>0</v>
      </c>
      <c r="P75" s="205">
        <v>0</v>
      </c>
      <c r="Q75" s="390">
        <f>+L75+N75-P75</f>
        <v>0</v>
      </c>
      <c r="R75" s="205">
        <v>0</v>
      </c>
      <c r="S75" s="390">
        <f>L75+R75</f>
        <v>0</v>
      </c>
    </row>
    <row r="76" spans="1:19" ht="13.2">
      <c r="A76" s="111"/>
      <c r="B76" s="112"/>
      <c r="C76" s="113"/>
      <c r="D76" s="114"/>
      <c r="E76" s="115">
        <v>0</v>
      </c>
      <c r="F76" s="53">
        <f>$L$36</f>
        <v>0.17531787774632998</v>
      </c>
      <c r="G76" s="116">
        <f>E76*F76</f>
        <v>0</v>
      </c>
      <c r="H76" s="115">
        <v>0</v>
      </c>
      <c r="I76" s="53">
        <f>$L$46</f>
        <v>-0.20229257021894226</v>
      </c>
      <c r="J76" s="390">
        <f>H76*I76</f>
        <v>0</v>
      </c>
      <c r="K76" s="205">
        <v>0</v>
      </c>
      <c r="L76" s="390">
        <f>G76+J76+K76</f>
        <v>0</v>
      </c>
      <c r="M76" s="428">
        <v>0</v>
      </c>
      <c r="N76" s="390">
        <f>+'2-Incentive ROE'!K$40*'1-Project Rev Req'!M76/100</f>
        <v>0</v>
      </c>
      <c r="O76" s="390">
        <f>+L76+N76</f>
        <v>0</v>
      </c>
      <c r="P76" s="205">
        <v>0</v>
      </c>
      <c r="Q76" s="390">
        <f>+L76+N76-P76</f>
        <v>0</v>
      </c>
      <c r="R76" s="205">
        <v>0</v>
      </c>
      <c r="S76" s="390">
        <f>L76+R76</f>
        <v>0</v>
      </c>
    </row>
    <row r="77" spans="1:19" ht="13.2">
      <c r="A77" s="111"/>
      <c r="B77" s="112"/>
      <c r="C77" s="113"/>
      <c r="D77" s="114"/>
      <c r="E77" s="115">
        <v>0</v>
      </c>
      <c r="F77" s="53">
        <f>$L$36</f>
        <v>0.17531787774632998</v>
      </c>
      <c r="G77" s="116">
        <f>E77*F77</f>
        <v>0</v>
      </c>
      <c r="H77" s="115">
        <v>0</v>
      </c>
      <c r="I77" s="53">
        <f>$L$46</f>
        <v>-0.20229257021894226</v>
      </c>
      <c r="J77" s="390">
        <f>H77*I77</f>
        <v>0</v>
      </c>
      <c r="K77" s="205">
        <v>0</v>
      </c>
      <c r="L77" s="390">
        <f>G77+J77+K77</f>
        <v>0</v>
      </c>
      <c r="M77" s="428">
        <v>0</v>
      </c>
      <c r="N77" s="390">
        <f>+'2-Incentive ROE'!K$40*'1-Project Rev Req'!M77/100</f>
        <v>0</v>
      </c>
      <c r="O77" s="390">
        <f>+L77+N77</f>
        <v>0</v>
      </c>
      <c r="P77" s="205">
        <v>0</v>
      </c>
      <c r="Q77" s="390">
        <f>+L77+N77-P77</f>
        <v>0</v>
      </c>
      <c r="R77" s="205">
        <v>0</v>
      </c>
      <c r="S77" s="390">
        <f>L77+R77</f>
        <v>0</v>
      </c>
    </row>
    <row r="78" spans="1:19" ht="13.2">
      <c r="A78" s="111"/>
      <c r="B78" s="112"/>
      <c r="C78" s="113"/>
      <c r="D78" s="114"/>
      <c r="E78" s="115">
        <v>0</v>
      </c>
      <c r="F78" s="53">
        <f>$L$36</f>
        <v>0.17531787774632998</v>
      </c>
      <c r="G78" s="116">
        <f>E78*F78</f>
        <v>0</v>
      </c>
      <c r="H78" s="115">
        <v>0</v>
      </c>
      <c r="I78" s="53">
        <f>$L$46</f>
        <v>-0.20229257021894226</v>
      </c>
      <c r="J78" s="390">
        <f>H78*I78</f>
        <v>0</v>
      </c>
      <c r="K78" s="205">
        <v>0</v>
      </c>
      <c r="L78" s="390">
        <f>G78+J78+K78</f>
        <v>0</v>
      </c>
      <c r="M78" s="428">
        <v>0</v>
      </c>
      <c r="N78" s="390">
        <f>+'2-Incentive ROE'!K$40*'1-Project Rev Req'!M78/100</f>
        <v>0</v>
      </c>
      <c r="O78" s="390">
        <f>+L78+N78</f>
        <v>0</v>
      </c>
      <c r="P78" s="205">
        <v>0</v>
      </c>
      <c r="Q78" s="390">
        <f>+L78+N78-P78</f>
        <v>0</v>
      </c>
      <c r="R78" s="205">
        <v>0</v>
      </c>
      <c r="S78" s="390">
        <f>L78+R78</f>
        <v>0</v>
      </c>
    </row>
    <row r="79" spans="1:19" ht="13.2">
      <c r="A79" s="111"/>
      <c r="B79" s="112"/>
      <c r="C79" s="113"/>
      <c r="D79" s="114"/>
      <c r="E79" s="115">
        <v>0</v>
      </c>
      <c r="F79" s="53">
        <f>$L$36</f>
        <v>0.17531787774632998</v>
      </c>
      <c r="G79" s="116">
        <f>E79*F79</f>
        <v>0</v>
      </c>
      <c r="H79" s="115">
        <v>0</v>
      </c>
      <c r="I79" s="53">
        <f>$L$46</f>
        <v>-0.20229257021894226</v>
      </c>
      <c r="J79" s="390">
        <f>H79*I79</f>
        <v>0</v>
      </c>
      <c r="K79" s="205">
        <v>0</v>
      </c>
      <c r="L79" s="390">
        <f>G79+J79+K79</f>
        <v>0</v>
      </c>
      <c r="M79" s="428">
        <v>0</v>
      </c>
      <c r="N79" s="390">
        <f>+'2-Incentive ROE'!K$40*'1-Project Rev Req'!M79/100</f>
        <v>0</v>
      </c>
      <c r="O79" s="390">
        <f>+L79+N79</f>
        <v>0</v>
      </c>
      <c r="P79" s="205">
        <v>0</v>
      </c>
      <c r="Q79" s="390">
        <f>+L79+N79-P79</f>
        <v>0</v>
      </c>
      <c r="R79" s="205">
        <v>0</v>
      </c>
      <c r="S79" s="390">
        <f>L79+R79</f>
        <v>0</v>
      </c>
    </row>
    <row r="80" spans="1:19" ht="13.2">
      <c r="A80" s="111"/>
      <c r="B80" s="112"/>
      <c r="C80" s="113"/>
      <c r="D80" s="114"/>
      <c r="E80" s="115">
        <v>0</v>
      </c>
      <c r="F80" s="53">
        <f>$L$36</f>
        <v>0.17531787774632998</v>
      </c>
      <c r="G80" s="116">
        <f>E80*F80</f>
        <v>0</v>
      </c>
      <c r="H80" s="115">
        <v>0</v>
      </c>
      <c r="I80" s="53">
        <f>$L$46</f>
        <v>-0.20229257021894226</v>
      </c>
      <c r="J80" s="390">
        <f>H80*I80</f>
        <v>0</v>
      </c>
      <c r="K80" s="205">
        <v>0</v>
      </c>
      <c r="L80" s="390">
        <f>G80+J80+K80</f>
        <v>0</v>
      </c>
      <c r="M80" s="428">
        <v>0</v>
      </c>
      <c r="N80" s="390">
        <f>+'2-Incentive ROE'!K$40*'1-Project Rev Req'!M80/100</f>
        <v>0</v>
      </c>
      <c r="O80" s="390">
        <f>+L80+N80</f>
        <v>0</v>
      </c>
      <c r="P80" s="205">
        <v>0</v>
      </c>
      <c r="Q80" s="390">
        <f>+L80+N80-P80</f>
        <v>0</v>
      </c>
      <c r="R80" s="205">
        <v>0</v>
      </c>
      <c r="S80" s="390">
        <f>L80+R80</f>
        <v>0</v>
      </c>
    </row>
    <row r="81" spans="1:19" ht="13.2">
      <c r="A81" s="118"/>
      <c r="C81" s="49"/>
      <c r="D81" s="49"/>
      <c r="E81" s="115">
        <v>0</v>
      </c>
      <c r="F81" s="53">
        <f>$L$36</f>
        <v>0.17531787774632998</v>
      </c>
      <c r="G81" s="116">
        <f>E81*F81</f>
        <v>0</v>
      </c>
      <c r="H81" s="115">
        <v>0</v>
      </c>
      <c r="I81" s="53">
        <f>$L$46</f>
        <v>-0.20229257021894226</v>
      </c>
      <c r="J81" s="390">
        <f>H81*I81</f>
        <v>0</v>
      </c>
      <c r="K81" s="205">
        <v>0</v>
      </c>
      <c r="L81" s="390">
        <f>G81+J81+K81</f>
        <v>0</v>
      </c>
      <c r="M81" s="428">
        <v>0</v>
      </c>
      <c r="N81" s="390">
        <f>+'2-Incentive ROE'!K$40*'1-Project Rev Req'!M81/100</f>
        <v>0</v>
      </c>
      <c r="O81" s="390">
        <f>+L81+N81</f>
        <v>0</v>
      </c>
      <c r="P81" s="205">
        <v>0</v>
      </c>
      <c r="Q81" s="390">
        <f>+L81+N81-P81</f>
        <v>0</v>
      </c>
      <c r="R81" s="205">
        <v>0</v>
      </c>
      <c r="S81" s="390">
        <f>L81+R81</f>
        <v>0</v>
      </c>
    </row>
    <row r="82" spans="1:19" ht="13.2">
      <c r="A82" s="118"/>
      <c r="C82" s="49"/>
      <c r="D82" s="49"/>
      <c r="E82" s="115">
        <v>0</v>
      </c>
      <c r="F82" s="53">
        <f>$L$36</f>
        <v>0.17531787774632998</v>
      </c>
      <c r="G82" s="116">
        <f>E82*F82</f>
        <v>0</v>
      </c>
      <c r="H82" s="115">
        <v>0</v>
      </c>
      <c r="I82" s="53">
        <f>$L$46</f>
        <v>-0.20229257021894226</v>
      </c>
      <c r="J82" s="390">
        <f>H82*I82</f>
        <v>0</v>
      </c>
      <c r="K82" s="205">
        <v>0</v>
      </c>
      <c r="L82" s="390">
        <f>G82+J82+K82</f>
        <v>0</v>
      </c>
      <c r="M82" s="428">
        <v>0</v>
      </c>
      <c r="N82" s="390">
        <f>+'2-Incentive ROE'!K$40*'1-Project Rev Req'!M82/100</f>
        <v>0</v>
      </c>
      <c r="O82" s="390">
        <f>+L82+N82</f>
        <v>0</v>
      </c>
      <c r="P82" s="205">
        <v>0</v>
      </c>
      <c r="Q82" s="390">
        <f>+L82+N82-P82</f>
        <v>0</v>
      </c>
      <c r="R82" s="205">
        <v>0</v>
      </c>
      <c r="S82" s="390">
        <f>L82+R82</f>
        <v>0</v>
      </c>
    </row>
    <row r="83" spans="1:19" ht="13.2">
      <c r="A83" s="118"/>
      <c r="C83" s="49"/>
      <c r="D83" s="49"/>
      <c r="E83" s="115">
        <v>0</v>
      </c>
      <c r="F83" s="53">
        <f>$L$36</f>
        <v>0.17531787774632998</v>
      </c>
      <c r="G83" s="116">
        <f>E83*F83</f>
        <v>0</v>
      </c>
      <c r="H83" s="115">
        <v>0</v>
      </c>
      <c r="I83" s="53">
        <f>$L$46</f>
        <v>-0.20229257021894226</v>
      </c>
      <c r="J83" s="390">
        <f>H83*I83</f>
        <v>0</v>
      </c>
      <c r="K83" s="205">
        <v>0</v>
      </c>
      <c r="L83" s="390">
        <f>G83+J83+K83</f>
        <v>0</v>
      </c>
      <c r="M83" s="428">
        <v>0</v>
      </c>
      <c r="N83" s="390">
        <f>+'2-Incentive ROE'!K$40*'1-Project Rev Req'!M83/100</f>
        <v>0</v>
      </c>
      <c r="O83" s="390">
        <f>+L83+N83</f>
        <v>0</v>
      </c>
      <c r="P83" s="205">
        <v>0</v>
      </c>
      <c r="Q83" s="390">
        <f>+L83+N83-P83</f>
        <v>0</v>
      </c>
      <c r="R83" s="205">
        <v>0</v>
      </c>
      <c r="S83" s="390">
        <f>L83+R83</f>
        <v>0</v>
      </c>
    </row>
    <row r="84" spans="1:19" ht="13.2">
      <c r="A84" s="118"/>
      <c r="C84" s="49"/>
      <c r="D84" s="49"/>
      <c r="E84" s="115">
        <v>0</v>
      </c>
      <c r="F84" s="53">
        <f>$L$36</f>
        <v>0.17531787774632998</v>
      </c>
      <c r="G84" s="116">
        <f>E84*F84</f>
        <v>0</v>
      </c>
      <c r="H84" s="115">
        <v>0</v>
      </c>
      <c r="I84" s="53">
        <f>$L$46</f>
        <v>-0.20229257021894226</v>
      </c>
      <c r="J84" s="390">
        <f>H84*I84</f>
        <v>0</v>
      </c>
      <c r="K84" s="205">
        <v>0</v>
      </c>
      <c r="L84" s="390">
        <f>G84+J84+K84</f>
        <v>0</v>
      </c>
      <c r="M84" s="428">
        <v>0</v>
      </c>
      <c r="N84" s="390">
        <f>+'2-Incentive ROE'!K$40*'1-Project Rev Req'!M84/100</f>
        <v>0</v>
      </c>
      <c r="O84" s="390">
        <f>+L84+N84</f>
        <v>0</v>
      </c>
      <c r="P84" s="205">
        <v>0</v>
      </c>
      <c r="Q84" s="390">
        <f>+L84+N84-P84</f>
        <v>0</v>
      </c>
      <c r="R84" s="205">
        <v>0</v>
      </c>
      <c r="S84" s="390">
        <f>L84+R84</f>
        <v>0</v>
      </c>
    </row>
    <row r="85" spans="1:19" ht="13.2">
      <c r="A85" s="119"/>
      <c r="B85" s="50"/>
      <c r="C85" s="50"/>
      <c r="D85" s="50"/>
      <c r="E85" s="50"/>
      <c r="F85" s="50"/>
      <c r="G85" s="51"/>
      <c r="H85" s="50"/>
      <c r="I85" s="50"/>
      <c r="J85" s="391"/>
      <c r="K85" s="608"/>
      <c r="L85" s="391"/>
      <c r="M85" s="609"/>
      <c r="N85" s="610"/>
      <c r="O85" s="610"/>
      <c r="P85" s="611"/>
      <c r="Q85" s="610"/>
      <c r="R85" s="608"/>
      <c r="S85" s="391">
        <f>L85+R85</f>
        <v>0</v>
      </c>
    </row>
    <row r="86" spans="1:19" ht="13.2">
      <c r="A86" s="64" t="s">
        <v>215</v>
      </c>
      <c r="B86" s="87"/>
      <c r="C86" s="65" t="s">
        <v>200</v>
      </c>
      <c r="D86" s="65"/>
      <c r="E86" s="120"/>
      <c r="F86" s="55"/>
      <c r="G86" s="22"/>
      <c r="H86" s="120"/>
      <c r="I86" s="22"/>
      <c r="J86" s="559"/>
      <c r="K86" s="559"/>
      <c r="L86" s="559"/>
      <c r="M86" s="559"/>
      <c r="N86" s="559"/>
      <c r="O86" s="559"/>
      <c r="P86" s="559">
        <f>SUM(P66:P85)</f>
        <v>0</v>
      </c>
      <c r="Q86" s="559"/>
      <c r="R86" s="559"/>
      <c r="S86" s="559">
        <f>SUM(S66:S85)</f>
        <v>322215.64836866874</v>
      </c>
    </row>
    <row r="87" spans="5:12" ht="13.2">
      <c r="E87" s="559"/>
      <c r="F87" s="52"/>
      <c r="G87" s="52"/>
      <c r="H87" s="52"/>
      <c r="I87" s="52"/>
      <c r="J87" s="52"/>
      <c r="K87" s="52"/>
      <c r="L87" s="53"/>
    </row>
    <row r="88" spans="1:20" ht="13.2">
      <c r="A88" s="121"/>
      <c r="E88" s="559"/>
      <c r="F88" s="52"/>
      <c r="G88" s="52"/>
      <c r="H88" s="52"/>
      <c r="I88" s="52"/>
      <c r="J88" s="52"/>
      <c r="K88" s="52"/>
      <c r="L88" s="53"/>
      <c r="M88" s="91"/>
      <c r="N88" s="91"/>
      <c r="O88" s="91"/>
      <c r="T88" s="555">
        <f>+'Attachment H'!I172</f>
        <v>428821.87432084989</v>
      </c>
    </row>
    <row r="89" spans="5:20" ht="13.2">
      <c r="E89" s="558"/>
      <c r="K89" s="54"/>
      <c r="L89" s="54"/>
      <c r="M89" s="54"/>
      <c r="N89" s="54"/>
      <c r="O89" s="54"/>
      <c r="S89" s="558"/>
      <c r="T89" s="555">
        <f>+S86</f>
        <v>322215.64836866874</v>
      </c>
    </row>
    <row r="90" spans="5:20" ht="13.2">
      <c r="E90" s="558"/>
      <c r="K90" s="54"/>
      <c r="L90" s="54"/>
      <c r="M90" s="54"/>
      <c r="N90" s="54"/>
      <c r="O90" s="54"/>
      <c r="S90" s="558"/>
      <c r="T90" s="555">
        <f>+T88-T89</f>
        <v>106606.22595218115</v>
      </c>
    </row>
    <row r="91" spans="1:20" ht="13.2">
      <c r="A91" s="25" t="s">
        <v>71</v>
      </c>
      <c r="S91" s="558"/>
      <c r="T91" s="555"/>
    </row>
    <row r="92" spans="1:20" ht="13.8" thickBot="1">
      <c r="A92" s="122" t="s">
        <v>72</v>
      </c>
      <c r="T92" s="555"/>
    </row>
    <row r="93" spans="1:20" ht="13.2">
      <c r="A93" s="123" t="s">
        <v>73</v>
      </c>
      <c r="C93" s="755" t="s">
        <v>591</v>
      </c>
      <c r="D93" s="755"/>
      <c r="E93" s="755"/>
      <c r="F93" s="755"/>
      <c r="G93" s="755"/>
      <c r="H93" s="755"/>
      <c r="I93" s="755"/>
      <c r="J93" s="755"/>
      <c r="K93" s="755"/>
      <c r="L93" s="755"/>
      <c r="M93" s="755"/>
      <c r="N93" s="755"/>
      <c r="O93" s="755"/>
      <c r="P93" s="755"/>
      <c r="Q93" s="755"/>
      <c r="T93" s="555"/>
    </row>
    <row r="94" spans="1:17" ht="13.2">
      <c r="A94" s="123" t="s">
        <v>74</v>
      </c>
      <c r="C94" s="755" t="s">
        <v>554</v>
      </c>
      <c r="D94" s="755"/>
      <c r="E94" s="755"/>
      <c r="F94" s="755"/>
      <c r="G94" s="755"/>
      <c r="H94" s="755"/>
      <c r="I94" s="755"/>
      <c r="J94" s="755"/>
      <c r="K94" s="755"/>
      <c r="L94" s="755"/>
      <c r="M94" s="755"/>
      <c r="N94" s="755"/>
      <c r="O94" s="755"/>
      <c r="P94" s="755"/>
      <c r="Q94" s="755"/>
    </row>
    <row r="95" spans="1:17" ht="13.2">
      <c r="A95" s="123" t="s">
        <v>75</v>
      </c>
      <c r="C95" s="756" t="s">
        <v>573</v>
      </c>
      <c r="D95" s="756"/>
      <c r="E95" s="756"/>
      <c r="F95" s="756"/>
      <c r="G95" s="756"/>
      <c r="H95" s="756"/>
      <c r="I95" s="756"/>
      <c r="J95" s="756"/>
      <c r="K95" s="756"/>
      <c r="L95" s="756"/>
      <c r="M95" s="756"/>
      <c r="N95" s="756"/>
      <c r="O95" s="756"/>
      <c r="P95" s="756"/>
      <c r="Q95" s="756"/>
    </row>
    <row r="96" spans="3:3" ht="13.2">
      <c r="C96" s="25" t="s">
        <v>557</v>
      </c>
    </row>
    <row r="97" spans="1:17" ht="13.2">
      <c r="A97" s="123" t="s">
        <v>76</v>
      </c>
      <c r="C97" s="756" t="s">
        <v>655</v>
      </c>
      <c r="D97" s="756"/>
      <c r="E97" s="756"/>
      <c r="F97" s="756"/>
      <c r="G97" s="756"/>
      <c r="H97" s="756"/>
      <c r="I97" s="756"/>
      <c r="J97" s="756"/>
      <c r="K97" s="756"/>
      <c r="L97" s="756"/>
      <c r="M97" s="756"/>
      <c r="N97" s="756"/>
      <c r="O97" s="756"/>
      <c r="P97" s="756"/>
      <c r="Q97" s="756"/>
    </row>
    <row r="98" spans="1:17" ht="13.2">
      <c r="A98" s="55" t="s">
        <v>77</v>
      </c>
      <c r="C98" s="754" t="s">
        <v>556</v>
      </c>
      <c r="D98" s="754"/>
      <c r="E98" s="754"/>
      <c r="F98" s="754"/>
      <c r="G98" s="754"/>
      <c r="H98" s="754"/>
      <c r="I98" s="754"/>
      <c r="J98" s="754"/>
      <c r="K98" s="754"/>
      <c r="L98" s="754"/>
      <c r="M98" s="754"/>
      <c r="N98" s="754"/>
      <c r="O98" s="754"/>
      <c r="P98" s="754"/>
      <c r="Q98" s="754"/>
    </row>
    <row r="99" spans="1:17" ht="13.2">
      <c r="A99" s="55" t="s">
        <v>78</v>
      </c>
      <c r="C99" s="754" t="s">
        <v>676</v>
      </c>
      <c r="D99" s="754"/>
      <c r="E99" s="754"/>
      <c r="F99" s="754"/>
      <c r="G99" s="754"/>
      <c r="H99" s="754"/>
      <c r="I99" s="754"/>
      <c r="J99" s="754"/>
      <c r="K99" s="754"/>
      <c r="L99" s="754"/>
      <c r="M99" s="754"/>
      <c r="N99" s="754"/>
      <c r="O99" s="754"/>
      <c r="P99" s="754"/>
      <c r="Q99" s="754"/>
    </row>
    <row r="100" spans="1:17" ht="13.2">
      <c r="A100" s="55" t="s">
        <v>79</v>
      </c>
      <c r="C100" s="754" t="s">
        <v>801</v>
      </c>
      <c r="D100" s="754"/>
      <c r="E100" s="754"/>
      <c r="F100" s="754"/>
      <c r="G100" s="754"/>
      <c r="H100" s="754"/>
      <c r="I100" s="754"/>
      <c r="J100" s="754"/>
      <c r="K100" s="754"/>
      <c r="L100" s="754"/>
      <c r="M100" s="754"/>
      <c r="N100" s="754"/>
      <c r="O100" s="754"/>
      <c r="P100" s="754"/>
      <c r="Q100" s="754"/>
    </row>
    <row r="101" spans="1:17" ht="13.2">
      <c r="A101" s="55" t="s">
        <v>81</v>
      </c>
      <c r="C101" s="754" t="s">
        <v>592</v>
      </c>
      <c r="D101" s="754"/>
      <c r="E101" s="754"/>
      <c r="F101" s="754"/>
      <c r="G101" s="754"/>
      <c r="H101" s="754"/>
      <c r="I101" s="754"/>
      <c r="J101" s="754"/>
      <c r="K101" s="754"/>
      <c r="L101" s="754"/>
      <c r="M101" s="754"/>
      <c r="N101" s="754"/>
      <c r="O101" s="754"/>
      <c r="P101" s="754"/>
      <c r="Q101" s="754"/>
    </row>
    <row r="102" spans="1:3" ht="13.2">
      <c r="A102" s="55" t="s">
        <v>82</v>
      </c>
      <c r="C102" s="25" t="s">
        <v>479</v>
      </c>
    </row>
    <row r="103" spans="1:17" ht="13.2">
      <c r="A103" s="64" t="s">
        <v>83</v>
      </c>
      <c r="C103" s="673" t="s">
        <v>807</v>
      </c>
      <c r="D103" s="673"/>
      <c r="E103" s="673"/>
      <c r="F103" s="673"/>
      <c r="G103" s="673"/>
      <c r="H103" s="673"/>
      <c r="I103" s="673"/>
      <c r="J103" s="673"/>
      <c r="K103" s="673"/>
      <c r="L103" s="673"/>
      <c r="M103" s="673"/>
      <c r="N103" s="673"/>
      <c r="O103" s="673"/>
      <c r="P103" s="22"/>
      <c r="Q103" s="94"/>
    </row>
    <row r="104" spans="1:17" ht="13.2">
      <c r="A104" s="64" t="s">
        <v>120</v>
      </c>
      <c r="C104" s="25" t="s">
        <v>471</v>
      </c>
      <c r="D104" s="64"/>
      <c r="E104" s="55"/>
      <c r="F104" s="55"/>
      <c r="G104" s="22"/>
      <c r="J104" s="78"/>
      <c r="P104" s="22"/>
      <c r="Q104" s="75"/>
    </row>
    <row r="105" spans="1:3" ht="13.2">
      <c r="A105" s="55" t="s">
        <v>150</v>
      </c>
      <c r="C105" s="15" t="s">
        <v>488</v>
      </c>
    </row>
    <row r="106" spans="1:3" ht="13.2">
      <c r="A106" s="55" t="s">
        <v>643</v>
      </c>
      <c r="C106" s="25" t="s">
        <v>644</v>
      </c>
    </row>
    <row r="107" spans="1:3" ht="13.2">
      <c r="A107" s="560" t="s">
        <v>153</v>
      </c>
      <c r="C107" s="25" t="s">
        <v>658</v>
      </c>
    </row>
    <row r="108" spans="3:3" ht="13.2">
      <c r="C108" s="25" t="s">
        <v>645</v>
      </c>
    </row>
    <row r="109" spans="3:7" ht="15.6">
      <c r="C109" s="753"/>
      <c r="D109" s="753"/>
      <c r="E109" s="753"/>
      <c r="F109" s="753"/>
      <c r="G109" s="753"/>
    </row>
  </sheetData>
  <mergeCells count="9">
    <mergeCell ref="C109:G109"/>
    <mergeCell ref="C100:Q100"/>
    <mergeCell ref="C101:Q101"/>
    <mergeCell ref="C93:Q93"/>
    <mergeCell ref="C94:Q94"/>
    <mergeCell ref="C95:Q95"/>
    <mergeCell ref="C97:Q97"/>
    <mergeCell ref="C98:Q98"/>
    <mergeCell ref="C99:Q99"/>
  </mergeCells>
  <pageMargins left="0.25" right="0.25" top="0.75" bottom="0.75" header="0.3" footer="0.3"/>
  <pageSetup fitToHeight="2" fitToWidth="2" horizontalDpi="300" verticalDpi="300" orientation="landscape" scale="41" r:id="rId1"/>
  <rowBreaks count="1" manualBreakCount="1">
    <brk id="50" max="18"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48"/>
  <sheetViews>
    <sheetView zoomScale="70" zoomScaleNormal="70" zoomScaleSheetLayoutView="75" workbookViewId="0" topLeftCell="A1"/>
  </sheetViews>
  <sheetFormatPr defaultRowHeight="15.75"/>
  <cols>
    <col min="1" max="1" width="5.55555555555556" style="321" customWidth="1"/>
    <col min="2" max="2" width="21.5555555555556" style="328" customWidth="1"/>
    <col min="3" max="3" width="32.4444444444444" style="328" customWidth="1"/>
    <col min="4" max="4" width="25.2222222222222" style="328" customWidth="1"/>
    <col min="5" max="5" width="14.6666666666667" style="328" bestFit="1" customWidth="1"/>
    <col min="6" max="6" width="6.55555555555556" style="328" customWidth="1"/>
    <col min="7" max="7" width="9" style="328" bestFit="1" customWidth="1"/>
    <col min="8" max="8" width="6.33333333333333" style="328" bestFit="1" customWidth="1"/>
    <col min="9" max="9" width="12.2222222222222" style="328" customWidth="1"/>
    <col min="10" max="10" width="24.1111111111111" style="334" bestFit="1" customWidth="1"/>
    <col min="11" max="11" width="12.5555555555556" customWidth="1"/>
  </cols>
  <sheetData>
    <row r="1" spans="3:10" ht="15.6">
      <c r="C1" s="322"/>
      <c r="D1" s="322"/>
      <c r="E1" s="322"/>
      <c r="F1" s="323"/>
      <c r="G1" s="322"/>
      <c r="H1" s="322"/>
      <c r="I1" s="322"/>
      <c r="J1" s="416"/>
    </row>
    <row r="2" spans="2:10" ht="15.6">
      <c r="B2" s="321"/>
      <c r="C2" s="322"/>
      <c r="D2" s="322"/>
      <c r="E2" s="322"/>
      <c r="F2" s="323"/>
      <c r="G2" s="322"/>
      <c r="H2" s="322"/>
      <c r="I2" s="322"/>
      <c r="J2" s="416"/>
    </row>
    <row r="3" spans="3:11" ht="15.6">
      <c r="C3" s="322"/>
      <c r="D3" s="324" t="s">
        <v>8</v>
      </c>
      <c r="E3" s="324"/>
      <c r="F3" s="323" t="s">
        <v>352</v>
      </c>
      <c r="H3" s="324"/>
      <c r="I3" s="324"/>
      <c r="J3" s="325"/>
      <c r="K3" s="602" t="s">
        <v>677</v>
      </c>
    </row>
    <row r="4" spans="2:11" ht="15.6">
      <c r="B4" s="327"/>
      <c r="C4" s="327"/>
      <c r="D4" s="327"/>
      <c r="E4" s="327"/>
      <c r="F4" s="389" t="s">
        <v>481</v>
      </c>
      <c r="H4" s="327"/>
      <c r="I4" s="327"/>
      <c r="J4" s="327"/>
      <c r="K4" s="326"/>
    </row>
    <row r="5" spans="2:11" ht="15.6">
      <c r="B5" s="327"/>
      <c r="C5" s="327"/>
      <c r="D5" s="327"/>
      <c r="F5" s="675" t="str">
        <f>'Attachment H'!$D$5</f>
        <v>NextEra Energy Transmission MidAtlantic Indiana, Inc.</v>
      </c>
      <c r="H5" s="327"/>
      <c r="I5" s="327"/>
      <c r="J5" s="327"/>
      <c r="K5" s="327"/>
    </row>
    <row r="6" ht="15.6"/>
    <row r="7" spans="1:11" ht="15.6">
      <c r="A7" s="321">
        <v>1</v>
      </c>
      <c r="B7" s="328" t="s">
        <v>464</v>
      </c>
      <c r="C7" s="328" t="s">
        <v>595</v>
      </c>
      <c r="J7" s="328"/>
      <c r="K7" s="380">
        <f>+'Attachment H'!I106</f>
        <v>265741.52289346617</v>
      </c>
    </row>
    <row r="8" spans="10:11" ht="15.6">
      <c r="J8" s="328"/>
      <c r="K8" s="334"/>
    </row>
    <row r="9" spans="1:11" ht="16.2" thickBot="1">
      <c r="A9" s="330">
        <f>+A7+1</f>
        <v>2</v>
      </c>
      <c r="B9" s="331" t="s">
        <v>353</v>
      </c>
      <c r="C9" s="332"/>
      <c r="D9" s="332"/>
      <c r="E9" s="332"/>
      <c r="F9" s="332"/>
      <c r="G9" s="332"/>
      <c r="H9" s="332"/>
      <c r="I9" s="332"/>
      <c r="J9" s="333" t="s">
        <v>56</v>
      </c>
      <c r="K9" s="334"/>
    </row>
    <row r="10" spans="1:11" ht="15.6">
      <c r="A10" s="330"/>
      <c r="B10" s="335"/>
      <c r="C10" s="332"/>
      <c r="D10" s="332"/>
      <c r="E10" s="332"/>
      <c r="F10" s="332"/>
      <c r="G10" s="332"/>
      <c r="H10" s="336" t="s">
        <v>65</v>
      </c>
      <c r="I10" s="332"/>
      <c r="J10" s="332"/>
      <c r="K10" s="334"/>
    </row>
    <row r="11" spans="1:11" ht="16.2" thickBot="1">
      <c r="A11" s="330"/>
      <c r="B11" s="335"/>
      <c r="C11" s="332"/>
      <c r="D11" s="332"/>
      <c r="E11" s="337" t="s">
        <v>56</v>
      </c>
      <c r="F11" s="337" t="s">
        <v>66</v>
      </c>
      <c r="G11" s="332"/>
      <c r="H11" s="337"/>
      <c r="I11" s="332"/>
      <c r="J11" s="337" t="s">
        <v>67</v>
      </c>
      <c r="K11" s="334"/>
    </row>
    <row r="12" spans="1:11" ht="15.6">
      <c r="A12" s="330">
        <f>+A9+1</f>
        <v>3</v>
      </c>
      <c r="B12" s="331" t="s">
        <v>305</v>
      </c>
      <c r="C12" s="338" t="s">
        <v>596</v>
      </c>
      <c r="D12" s="338"/>
      <c r="E12" s="339">
        <v>0</v>
      </c>
      <c r="F12" s="431">
        <v>0</v>
      </c>
      <c r="G12" s="329"/>
      <c r="H12" s="431">
        <v>0</v>
      </c>
      <c r="I12" s="329"/>
      <c r="J12" s="329">
        <f>F12*H12</f>
        <v>0</v>
      </c>
      <c r="K12" s="334"/>
    </row>
    <row r="13" spans="1:11" ht="15.6">
      <c r="A13" s="330">
        <f>+A12+1</f>
        <v>4</v>
      </c>
      <c r="B13" s="331" t="s">
        <v>465</v>
      </c>
      <c r="C13" s="338" t="s">
        <v>596</v>
      </c>
      <c r="D13" s="338"/>
      <c r="E13" s="339">
        <v>0</v>
      </c>
      <c r="F13" s="431">
        <v>0</v>
      </c>
      <c r="G13" s="329"/>
      <c r="H13" s="329">
        <v>0</v>
      </c>
      <c r="I13" s="329"/>
      <c r="J13" s="329">
        <f>F13*H13</f>
        <v>0</v>
      </c>
      <c r="K13" s="334"/>
    </row>
    <row r="14" spans="1:11" ht="31.8" thickBot="1">
      <c r="A14" s="330">
        <f>+A13+1</f>
        <v>5</v>
      </c>
      <c r="B14" s="331" t="s">
        <v>414</v>
      </c>
      <c r="C14" s="338" t="s">
        <v>597</v>
      </c>
      <c r="D14" s="413" t="s">
        <v>598</v>
      </c>
      <c r="E14" s="341">
        <v>0</v>
      </c>
      <c r="F14" s="431">
        <v>0</v>
      </c>
      <c r="G14" s="329"/>
      <c r="H14" s="437">
        <f>+'Attachment H'!G212+0.01</f>
        <v>0.111</v>
      </c>
      <c r="I14" s="329"/>
      <c r="J14" s="586">
        <f>F14*H14</f>
        <v>0</v>
      </c>
      <c r="K14" s="334"/>
    </row>
    <row r="15" spans="1:11" ht="15.6">
      <c r="A15" s="330">
        <f>+A14+1</f>
        <v>6</v>
      </c>
      <c r="B15" s="335" t="s">
        <v>599</v>
      </c>
      <c r="C15" s="340"/>
      <c r="D15" s="340"/>
      <c r="E15" s="342">
        <f>SUM(E12:E14)</f>
        <v>0</v>
      </c>
      <c r="F15" s="329" t="s">
        <v>8</v>
      </c>
      <c r="G15" s="329"/>
      <c r="H15" s="329"/>
      <c r="I15" s="329"/>
      <c r="J15" s="329">
        <f>SUM(J12:J14)</f>
        <v>0</v>
      </c>
      <c r="K15" s="334"/>
    </row>
    <row r="16" spans="1:11" ht="15.6">
      <c r="A16" s="330">
        <f t="shared" si="0" ref="A16:A40">+A15+1</f>
        <v>7</v>
      </c>
      <c r="B16" s="335" t="s">
        <v>360</v>
      </c>
      <c r="C16" s="340"/>
      <c r="D16" s="340"/>
      <c r="E16" s="342"/>
      <c r="F16" s="332"/>
      <c r="G16" s="332"/>
      <c r="H16" s="332"/>
      <c r="I16" s="332"/>
      <c r="J16" s="329"/>
      <c r="K16" s="329">
        <f>+J15*K7</f>
        <v>0</v>
      </c>
    </row>
    <row r="17" spans="1:11" ht="15.6">
      <c r="A17" s="330"/>
      <c r="J17" s="328"/>
      <c r="K17" s="334"/>
    </row>
    <row r="18" spans="1:11" ht="15.6">
      <c r="A18" s="330">
        <f>+A16+1</f>
        <v>8</v>
      </c>
      <c r="B18" s="335" t="s">
        <v>48</v>
      </c>
      <c r="C18" s="343"/>
      <c r="D18" s="343"/>
      <c r="E18" s="332"/>
      <c r="F18" s="332"/>
      <c r="G18" s="340"/>
      <c r="H18" s="344"/>
      <c r="I18" s="332"/>
      <c r="J18" s="340"/>
      <c r="K18" s="334"/>
    </row>
    <row r="19" spans="1:11" ht="15.6">
      <c r="A19" s="330">
        <f>+A18+1</f>
        <v>9</v>
      </c>
      <c r="B19" s="345" t="s">
        <v>470</v>
      </c>
      <c r="C19" s="332"/>
      <c r="D19" s="37"/>
      <c r="E19" s="392">
        <f>IF('Attachment H'!D252&gt;0,1-(((1-'Attachment H'!D253)*(1-'Attachment H'!D252))/(1-'Attachment H'!D252*'Attachment H'!D253*'Attachment H'!D254)),0)</f>
        <v>0.24870999999999999</v>
      </c>
      <c r="F19" s="392"/>
      <c r="G19" s="340"/>
      <c r="H19" s="344"/>
      <c r="I19" s="332"/>
      <c r="J19" s="340"/>
      <c r="K19" s="334"/>
    </row>
    <row r="20" spans="1:11" ht="15.6">
      <c r="A20" s="330">
        <f>+A19+1</f>
        <v>10</v>
      </c>
      <c r="B20" s="340" t="s">
        <v>49</v>
      </c>
      <c r="C20" s="332"/>
      <c r="D20" s="37"/>
      <c r="E20" s="392">
        <f>IF(J15&gt;0,(E19/(1-E19))*(1-J12/J15),0)</f>
        <v>0</v>
      </c>
      <c r="F20" s="332"/>
      <c r="G20" s="340"/>
      <c r="H20" s="344"/>
      <c r="I20" s="332"/>
      <c r="J20" s="340"/>
      <c r="K20" s="334"/>
    </row>
    <row r="21" spans="1:11" ht="15.6">
      <c r="A21" s="330">
        <f>+A20+1</f>
        <v>11</v>
      </c>
      <c r="B21" s="343" t="s">
        <v>466</v>
      </c>
      <c r="C21" s="343"/>
      <c r="D21" s="37"/>
      <c r="E21" s="332"/>
      <c r="F21" s="332"/>
      <c r="G21" s="340"/>
      <c r="H21" s="344"/>
      <c r="I21" s="332"/>
      <c r="J21" s="340"/>
      <c r="K21" s="334"/>
    </row>
    <row r="22" spans="1:11" ht="15.6">
      <c r="A22" s="330">
        <f>+A21+1</f>
        <v>12</v>
      </c>
      <c r="B22" s="346" t="s">
        <v>467</v>
      </c>
      <c r="C22" s="343"/>
      <c r="D22" s="343"/>
      <c r="E22" s="332"/>
      <c r="F22" s="332"/>
      <c r="G22" s="340"/>
      <c r="H22" s="344"/>
      <c r="I22" s="332"/>
      <c r="J22" s="340"/>
      <c r="K22" s="334"/>
    </row>
    <row r="23" spans="1:11" ht="15.6">
      <c r="A23" s="330">
        <f>+A22+1</f>
        <v>13</v>
      </c>
      <c r="B23" s="347" t="str">
        <f>"      1 / (1 - T)  =  (from line "&amp;A19&amp;")"</f>
        <v xml:space="preserve">      1 / (1 - T)  =  (from line 9)</v>
      </c>
      <c r="C23" s="343"/>
      <c r="D23" s="343"/>
      <c r="E23" s="392">
        <f>IF(E19&gt;0,1/(1-E19),0)</f>
        <v>1.3310439377603855</v>
      </c>
      <c r="F23" s="332"/>
      <c r="G23" s="340"/>
      <c r="H23" s="344"/>
      <c r="I23" s="332"/>
      <c r="J23" s="340"/>
      <c r="K23" s="334"/>
    </row>
    <row r="24" spans="1:11" ht="15.6">
      <c r="A24" s="330">
        <f>+A23+1</f>
        <v>14</v>
      </c>
      <c r="B24" s="346" t="s">
        <v>354</v>
      </c>
      <c r="C24" s="343"/>
      <c r="D24" s="343" t="s">
        <v>565</v>
      </c>
      <c r="E24" s="348">
        <f>+'Attachment H'!D160</f>
        <v>0</v>
      </c>
      <c r="F24" s="332"/>
      <c r="G24" s="340"/>
      <c r="H24" s="344"/>
      <c r="I24" s="332"/>
      <c r="J24" s="340"/>
      <c r="K24" s="334"/>
    </row>
    <row r="25" spans="1:11" ht="15.6">
      <c r="A25" s="330">
        <f>+A24+1</f>
        <v>15</v>
      </c>
      <c r="B25" s="346" t="s">
        <v>355</v>
      </c>
      <c r="C25" s="343"/>
      <c r="D25" s="343" t="s">
        <v>566</v>
      </c>
      <c r="E25" s="348">
        <f>+'Attachment H'!D161</f>
        <v>0</v>
      </c>
      <c r="F25" s="332"/>
      <c r="G25" s="340"/>
      <c r="H25" s="349"/>
      <c r="I25" s="332"/>
      <c r="J25" s="340"/>
      <c r="K25" s="334"/>
    </row>
    <row r="26" spans="1:11" ht="15.6">
      <c r="A26" s="330">
        <f>+A25+1</f>
        <v>16</v>
      </c>
      <c r="B26" s="346" t="s">
        <v>468</v>
      </c>
      <c r="C26" s="343"/>
      <c r="D26" s="343" t="s">
        <v>567</v>
      </c>
      <c r="E26" s="348">
        <f>+'Attachment H'!D162</f>
        <v>-68565.436772799498</v>
      </c>
      <c r="F26" s="332"/>
      <c r="G26" s="340"/>
      <c r="H26" s="344"/>
      <c r="I26" s="332"/>
      <c r="J26" s="340"/>
      <c r="K26" s="334"/>
    </row>
    <row r="27" spans="1:11" ht="15.6">
      <c r="A27" s="330">
        <f>+A26+1</f>
        <v>17</v>
      </c>
      <c r="B27" s="347" t="str">
        <f>"Income Tax Calculation = line "&amp;A20&amp;" * line "&amp;A16&amp;""</f>
        <v>Income Tax Calculation = line 10 * line 7</v>
      </c>
      <c r="C27" s="350"/>
      <c r="E27" s="385">
        <f>+E20*K33</f>
        <v>0</v>
      </c>
      <c r="F27" s="351"/>
      <c r="G27" s="351" t="s">
        <v>28</v>
      </c>
      <c r="H27" s="352"/>
      <c r="I27" s="351"/>
      <c r="J27" s="385">
        <f>+E20*K16</f>
        <v>0</v>
      </c>
      <c r="K27" s="334"/>
    </row>
    <row r="28" spans="1:11" ht="15.6">
      <c r="A28" s="330">
        <f>+A27+1</f>
        <v>18</v>
      </c>
      <c r="B28" s="338" t="str">
        <f>"ITC adjustment (line "&amp;A23&amp;" * line "&amp;A24&amp;")"</f>
        <v>ITC adjustment (line 13 * line 14)</v>
      </c>
      <c r="C28" s="350"/>
      <c r="D28" s="350"/>
      <c r="E28" s="385">
        <f>+E$23*E24</f>
        <v>0</v>
      </c>
      <c r="F28" s="351"/>
      <c r="G28" s="353" t="s">
        <v>34</v>
      </c>
      <c r="H28" s="329">
        <f>+'Attachment H'!G84</f>
        <v>1</v>
      </c>
      <c r="I28" s="351"/>
      <c r="J28" s="385">
        <f>+E28*H28</f>
        <v>0</v>
      </c>
      <c r="K28" s="334"/>
    </row>
    <row r="29" spans="1:11" ht="15.6">
      <c r="A29" s="330">
        <f>+A28+1</f>
        <v>19</v>
      </c>
      <c r="B29" s="338" t="str">
        <f>"Excess Deferred Income Tax Adjustment (line "&amp;A23&amp;" * line "&amp;A25&amp;")"</f>
        <v>Excess Deferred Income Tax Adjustment (line 13 * line 15)</v>
      </c>
      <c r="C29" s="350"/>
      <c r="D29" s="350"/>
      <c r="E29" s="385">
        <f>+E$23*E25</f>
        <v>0</v>
      </c>
      <c r="F29" s="351"/>
      <c r="G29" s="353" t="s">
        <v>34</v>
      </c>
      <c r="H29" s="329">
        <f>H28</f>
        <v>1</v>
      </c>
      <c r="I29" s="351"/>
      <c r="J29" s="385">
        <f>+E29*H29</f>
        <v>0</v>
      </c>
      <c r="K29" s="334"/>
    </row>
    <row r="30" spans="1:11" ht="15.6">
      <c r="A30" s="330">
        <f>+A29+1</f>
        <v>20</v>
      </c>
      <c r="B30" s="338" t="str">
        <f>"Permanent Differences Tax Adjustment (line "&amp;A23&amp;" * "&amp;A26&amp;")"</f>
        <v>Permanent Differences Tax Adjustment (line 13 * 16)</v>
      </c>
      <c r="C30" s="350"/>
      <c r="D30" s="350"/>
      <c r="E30" s="417">
        <f>+E$23*E26</f>
        <v>-91263.608956327778</v>
      </c>
      <c r="F30" s="351"/>
      <c r="G30" s="353" t="s">
        <v>34</v>
      </c>
      <c r="H30" s="329">
        <f>H29</f>
        <v>1</v>
      </c>
      <c r="I30" s="351"/>
      <c r="J30" s="417">
        <f>+E30*H30</f>
        <v>-91263.608956327778</v>
      </c>
      <c r="K30" s="334"/>
    </row>
    <row r="31" spans="1:11" ht="15.6">
      <c r="A31" s="330">
        <f>+A30+1</f>
        <v>21</v>
      </c>
      <c r="B31" s="354" t="str">
        <f>"Total Income Taxes (sum lines "&amp;A27&amp;" - "&amp;A30&amp;")"</f>
        <v>Total Income Taxes (sum lines 17 - 20)</v>
      </c>
      <c r="C31" s="338"/>
      <c r="D31" s="338"/>
      <c r="E31" s="348">
        <f>SUM(E27:E30)</f>
        <v>-91263.608956327778</v>
      </c>
      <c r="F31" s="351"/>
      <c r="G31" s="351" t="s">
        <v>8</v>
      </c>
      <c r="H31" s="352" t="s">
        <v>8</v>
      </c>
      <c r="I31" s="351"/>
      <c r="J31" s="348">
        <f>SUM(J27:J30)</f>
        <v>-91263.608956327778</v>
      </c>
      <c r="K31" s="329">
        <f>+J31</f>
        <v>-91263.608956327778</v>
      </c>
    </row>
    <row r="32" spans="1:11" ht="15.6">
      <c r="A32" s="330"/>
      <c r="J32" s="328"/>
      <c r="K32" s="334"/>
    </row>
    <row r="33" spans="1:11" ht="15.6">
      <c r="A33" s="330">
        <f>+A31+1</f>
        <v>22</v>
      </c>
      <c r="B33" s="338" t="s">
        <v>356</v>
      </c>
      <c r="D33" s="328" t="s">
        <v>818</v>
      </c>
      <c r="J33" s="328"/>
      <c r="K33" s="329">
        <f>+K31+K16</f>
        <v>-91263.608956327778</v>
      </c>
    </row>
    <row r="34" spans="1:11" ht="15.6">
      <c r="A34" s="330"/>
      <c r="J34" s="328"/>
      <c r="K34" s="334"/>
    </row>
    <row r="35" spans="1:11" ht="15.6">
      <c r="A35" s="330">
        <f>+A33+1</f>
        <v>23</v>
      </c>
      <c r="B35" s="328" t="s">
        <v>490</v>
      </c>
      <c r="J35" s="328"/>
      <c r="K35" s="329">
        <f>+'Attachment H'!I170</f>
        <v>20776.522353807206</v>
      </c>
    </row>
    <row r="36" spans="1:11" ht="15.6">
      <c r="A36" s="330">
        <f>+A35+1</f>
        <v>24</v>
      </c>
      <c r="B36" s="328" t="s">
        <v>491</v>
      </c>
      <c r="J36" s="328"/>
      <c r="K36" s="329">
        <f>+'Attachment H'!I167</f>
        <v>-85930.854682009507</v>
      </c>
    </row>
    <row r="37" spans="1:11" ht="15.6">
      <c r="A37" s="330">
        <f>+A36+1</f>
        <v>25</v>
      </c>
      <c r="B37" s="338" t="s">
        <v>357</v>
      </c>
      <c r="D37" s="328" t="s">
        <v>819</v>
      </c>
      <c r="J37" s="328"/>
      <c r="K37" s="355">
        <f>SUM(K35:K36)</f>
        <v>-65154.332328202305</v>
      </c>
    </row>
    <row r="38" spans="1:11" ht="15.6">
      <c r="A38" s="330">
        <f>+A37+1</f>
        <v>26</v>
      </c>
      <c r="B38" s="338" t="s">
        <v>358</v>
      </c>
      <c r="D38" s="328" t="s">
        <v>820</v>
      </c>
      <c r="J38" s="328"/>
      <c r="K38" s="329">
        <f>+K33-K37</f>
        <v>-26109.276628125474</v>
      </c>
    </row>
    <row r="39" spans="1:11" ht="15.6">
      <c r="A39" s="330">
        <f>+A38+1</f>
        <v>27</v>
      </c>
      <c r="B39" s="328" t="s">
        <v>469</v>
      </c>
      <c r="J39" s="328"/>
      <c r="K39" s="414">
        <f>+K7</f>
        <v>265741.52289346617</v>
      </c>
    </row>
    <row r="40" spans="1:11" ht="15.6">
      <c r="A40" s="330">
        <f>+A39+1</f>
        <v>28</v>
      </c>
      <c r="B40" s="328" t="s">
        <v>359</v>
      </c>
      <c r="E40" s="328" t="s">
        <v>821</v>
      </c>
      <c r="J40" s="328"/>
      <c r="K40" s="415">
        <f>IF(K39=0,0,K38/K39)</f>
        <v>-0.098250647259940968</v>
      </c>
    </row>
    <row r="41" spans="10:11" ht="15.6">
      <c r="J41" s="328"/>
      <c r="K41" s="334"/>
    </row>
    <row r="42" spans="1:11" ht="15.6">
      <c r="A42" s="321" t="s">
        <v>429</v>
      </c>
      <c r="J42" s="328"/>
      <c r="K42" s="334"/>
    </row>
    <row r="43" spans="1:11" ht="15.6">
      <c r="A43" s="410" t="s">
        <v>73</v>
      </c>
      <c r="B43" s="380" t="s">
        <v>428</v>
      </c>
      <c r="J43" s="328"/>
      <c r="K43" s="334"/>
    </row>
    <row r="44" spans="1:11" ht="15.6">
      <c r="A44" s="410"/>
      <c r="B44" s="328" t="s">
        <v>601</v>
      </c>
      <c r="J44" s="328"/>
      <c r="K44" s="334"/>
    </row>
    <row r="45" spans="1:11" ht="15.6">
      <c r="A45" s="410"/>
      <c r="B45" s="328" t="s">
        <v>431</v>
      </c>
      <c r="J45" s="328"/>
      <c r="K45" s="334"/>
    </row>
    <row r="46" spans="1:11" ht="15.6">
      <c r="A46" s="410"/>
      <c r="B46" s="328" t="s">
        <v>600</v>
      </c>
      <c r="J46" s="328"/>
      <c r="K46" s="334"/>
    </row>
    <row r="47" spans="1:11" ht="15.6">
      <c r="A47" s="410" t="s">
        <v>74</v>
      </c>
      <c r="B47" s="328" t="s">
        <v>430</v>
      </c>
      <c r="J47" s="328"/>
      <c r="K47" s="334"/>
    </row>
    <row r="48" spans="2:11" ht="15.6">
      <c r="B48" s="328" t="s">
        <v>448</v>
      </c>
      <c r="J48" s="328"/>
      <c r="K48" s="334"/>
    </row>
    <row r="68" ht="24" customHeight="1"/>
  </sheetData>
  <pageMargins left="0.7" right="0.7" top="0.75" bottom="0.75" header="0.3" footer="0.3"/>
  <pageSetup orientation="landscape" scale="62"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64"/>
  <sheetViews>
    <sheetView zoomScaleSheetLayoutView="75" workbookViewId="0" topLeftCell="A1"/>
  </sheetViews>
  <sheetFormatPr defaultColWidth="8.81555555555556" defaultRowHeight="13.5"/>
  <cols>
    <col min="1" max="1" width="6" style="25" customWidth="1"/>
    <col min="2" max="2" width="27.1111111111111" style="25" customWidth="1"/>
    <col min="3" max="3" width="11.2222222222222" style="25" customWidth="1"/>
    <col min="4" max="4" width="18.7777777777778" style="25" customWidth="1"/>
    <col min="5" max="5" width="14.1111111111111" style="25" customWidth="1"/>
    <col min="6" max="6" width="15.2222222222222" style="25" customWidth="1"/>
    <col min="7" max="7" width="18.2222222222222" style="25" customWidth="1"/>
    <col min="8" max="8" width="14.4444444444444" style="25" customWidth="1"/>
    <col min="9" max="9" width="18.5555555555556" style="25" customWidth="1"/>
    <col min="10" max="10" width="13.7777777777778" style="25" customWidth="1"/>
    <col min="11" max="11" width="14.4444444444444" style="25" customWidth="1"/>
    <col min="12" max="12" width="13.5555555555556" style="25" customWidth="1"/>
    <col min="13" max="13" width="8.77777777777778" style="25"/>
    <col min="14" max="16384" width="8.77777777777778" style="25"/>
  </cols>
  <sheetData>
    <row r="1" spans="10:10" ht="13.2">
      <c r="J1" s="19" t="s">
        <v>677</v>
      </c>
    </row>
    <row r="2" ht="13.2"/>
    <row r="3" ht="13.2"/>
    <row r="4" ht="13.2"/>
    <row r="5" spans="1:12" ht="13.2">
      <c r="A5" s="516"/>
      <c r="D5" s="19"/>
      <c r="E5" s="512" t="s">
        <v>232</v>
      </c>
      <c r="F5" s="19"/>
      <c r="G5" s="19"/>
      <c r="I5" s="19"/>
      <c r="J5" s="19"/>
      <c r="K5" s="19"/>
      <c r="L5" s="24"/>
    </row>
    <row r="6" spans="1:12" ht="13.2">
      <c r="A6" s="516"/>
      <c r="D6" s="19"/>
      <c r="E6" s="425" t="s">
        <v>433</v>
      </c>
      <c r="F6" s="22"/>
      <c r="G6" s="22"/>
      <c r="I6" s="22"/>
      <c r="J6" s="22"/>
      <c r="K6" s="22"/>
      <c r="L6" s="24"/>
    </row>
    <row r="7" spans="1:12" ht="13.2">
      <c r="A7" s="516"/>
      <c r="C7" s="26"/>
      <c r="D7" s="26"/>
      <c r="E7" s="654" t="str">
        <f>'Attachment H'!$D$5</f>
        <v>NextEra Energy Transmission MidAtlantic Indiana, Inc.</v>
      </c>
      <c r="F7" s="26"/>
      <c r="G7" s="26"/>
      <c r="I7" s="26"/>
      <c r="J7" s="26"/>
      <c r="K7" s="26"/>
      <c r="L7" s="26"/>
    </row>
    <row r="8" spans="1:12" s="409" customFormat="1" ht="13.8">
      <c r="A8" s="517"/>
      <c r="B8" s="25"/>
      <c r="C8" s="25"/>
      <c r="D8" s="25"/>
      <c r="E8" s="70"/>
      <c r="F8" s="70"/>
      <c r="G8" s="70"/>
      <c r="H8" s="25"/>
      <c r="I8" s="26"/>
      <c r="J8" s="26"/>
      <c r="K8" s="26"/>
      <c r="L8" s="26"/>
    </row>
    <row r="9" spans="1:12" s="409" customFormat="1" ht="13.8">
      <c r="A9" s="518"/>
      <c r="B9" s="297"/>
      <c r="C9" s="297"/>
      <c r="D9" s="297"/>
      <c r="E9" s="297"/>
      <c r="F9" s="297"/>
      <c r="G9" s="297"/>
      <c r="H9" s="297"/>
      <c r="I9" s="297"/>
      <c r="J9" s="297"/>
      <c r="K9" s="304"/>
      <c r="L9" s="297"/>
    </row>
    <row r="10" spans="1:11" s="409" customFormat="1" ht="13.8">
      <c r="A10" s="518"/>
      <c r="B10" s="297"/>
      <c r="C10" s="297"/>
      <c r="D10" s="758" t="s">
        <v>674</v>
      </c>
      <c r="E10" s="759"/>
      <c r="F10" s="464"/>
      <c r="G10" s="466" t="s">
        <v>533</v>
      </c>
      <c r="H10" s="464"/>
      <c r="I10" s="467"/>
      <c r="J10" s="467"/>
      <c r="K10" s="465"/>
    </row>
    <row r="11" spans="1:11" s="409" customFormat="1" ht="16.2">
      <c r="A11" s="518">
        <v>1</v>
      </c>
      <c r="B11" s="297" t="s">
        <v>673</v>
      </c>
      <c r="C11" s="297"/>
      <c r="D11" s="760" t="s">
        <v>675</v>
      </c>
      <c r="E11" s="761"/>
      <c r="F11" s="592" t="s">
        <v>602</v>
      </c>
      <c r="G11" s="468" t="s">
        <v>534</v>
      </c>
      <c r="H11" s="592" t="s">
        <v>535</v>
      </c>
      <c r="I11" s="573"/>
      <c r="J11" s="573"/>
      <c r="K11" s="574"/>
    </row>
    <row r="12" spans="1:11" s="409" customFormat="1" ht="13.8">
      <c r="A12" s="518">
        <v>2</v>
      </c>
      <c r="B12" s="724">
        <v>2021</v>
      </c>
      <c r="C12" s="297"/>
      <c r="D12" s="469"/>
      <c r="E12" s="469"/>
      <c r="F12" s="519">
        <v>571863.30999999994</v>
      </c>
      <c r="G12" s="470"/>
      <c r="H12" s="469"/>
      <c r="I12" s="469"/>
      <c r="J12" s="469"/>
      <c r="K12" s="464"/>
    </row>
    <row r="13" spans="2:13" s="409" customFormat="1" ht="13.8">
      <c r="B13" s="471" t="s">
        <v>73</v>
      </c>
      <c r="C13" s="471" t="s">
        <v>74</v>
      </c>
      <c r="D13" s="468" t="s">
        <v>75</v>
      </c>
      <c r="E13" s="468" t="s">
        <v>76</v>
      </c>
      <c r="F13" s="466" t="s">
        <v>77</v>
      </c>
      <c r="G13" s="471" t="s">
        <v>78</v>
      </c>
      <c r="H13" s="472" t="s">
        <v>79</v>
      </c>
      <c r="I13" s="472" t="s">
        <v>81</v>
      </c>
      <c r="J13" s="472" t="s">
        <v>82</v>
      </c>
      <c r="K13" s="521" t="s">
        <v>83</v>
      </c>
      <c r="M13" s="568"/>
    </row>
    <row r="14" spans="1:11" s="409" customFormat="1" ht="13.8">
      <c r="A14" s="518"/>
      <c r="B14" s="469"/>
      <c r="C14" s="466"/>
      <c r="D14" s="466"/>
      <c r="E14" s="520" t="s">
        <v>603</v>
      </c>
      <c r="F14" s="466"/>
      <c r="G14" s="466"/>
      <c r="H14" s="469"/>
      <c r="I14" s="466"/>
      <c r="J14" s="469"/>
      <c r="K14" s="469"/>
    </row>
    <row r="15" spans="1:11" s="409" customFormat="1" ht="13.8">
      <c r="A15" s="518"/>
      <c r="B15" s="470"/>
      <c r="C15" s="472"/>
      <c r="D15" s="472" t="s">
        <v>666</v>
      </c>
      <c r="E15" s="521" t="s">
        <v>19</v>
      </c>
      <c r="F15" s="472" t="s">
        <v>538</v>
      </c>
      <c r="G15" s="472" t="s">
        <v>665</v>
      </c>
      <c r="H15" s="472" t="s">
        <v>536</v>
      </c>
      <c r="I15" s="472"/>
      <c r="J15" s="472" t="s">
        <v>442</v>
      </c>
      <c r="K15" s="472"/>
    </row>
    <row r="16" spans="1:11" s="409" customFormat="1" ht="13.8">
      <c r="A16" s="518"/>
      <c r="B16" s="472" t="s">
        <v>548</v>
      </c>
      <c r="C16" s="472"/>
      <c r="D16" s="472" t="s">
        <v>537</v>
      </c>
      <c r="E16" s="521" t="s">
        <v>604</v>
      </c>
      <c r="F16" s="472" t="s">
        <v>543</v>
      </c>
      <c r="G16" s="472" t="s">
        <v>537</v>
      </c>
      <c r="H16" s="472" t="s">
        <v>459</v>
      </c>
      <c r="I16" s="466" t="s">
        <v>574</v>
      </c>
      <c r="J16" s="472" t="s">
        <v>539</v>
      </c>
      <c r="K16" s="472" t="s">
        <v>605</v>
      </c>
    </row>
    <row r="17" spans="1:11" s="409" customFormat="1" ht="16.2">
      <c r="A17" s="518"/>
      <c r="B17" s="468" t="s">
        <v>540</v>
      </c>
      <c r="C17" s="468" t="s">
        <v>541</v>
      </c>
      <c r="D17" s="468" t="s">
        <v>542</v>
      </c>
      <c r="E17" s="521" t="s">
        <v>534</v>
      </c>
      <c r="F17" s="523" t="s">
        <v>667</v>
      </c>
      <c r="G17" s="468" t="s">
        <v>606</v>
      </c>
      <c r="H17" s="468" t="s">
        <v>668</v>
      </c>
      <c r="I17" s="472" t="s">
        <v>607</v>
      </c>
      <c r="J17" s="468" t="s">
        <v>608</v>
      </c>
      <c r="K17" s="468" t="s">
        <v>669</v>
      </c>
    </row>
    <row r="18" spans="1:11" s="409" customFormat="1" ht="13.8">
      <c r="A18" s="518">
        <v>3</v>
      </c>
      <c r="B18" s="470" t="s">
        <v>447</v>
      </c>
      <c r="C18" s="470"/>
      <c r="D18" s="524">
        <v>583990.69180553209</v>
      </c>
      <c r="E18" s="525">
        <f>IF(D$39=0,0,D18/D$39)</f>
        <v>1</v>
      </c>
      <c r="F18" s="526">
        <f>E18*F12</f>
        <v>571863.30999999994</v>
      </c>
      <c r="G18" s="733">
        <v>471763.56732189551</v>
      </c>
      <c r="H18" s="527">
        <f>+G18-F18</f>
        <v>-100099.74267810443</v>
      </c>
      <c r="I18" s="528">
        <v>0</v>
      </c>
      <c r="J18" s="527">
        <f>(H18+I18)*((J$41/12)*24)</f>
        <v>-6506.4832740767888</v>
      </c>
      <c r="K18" s="527">
        <f>+H18+J18+I18</f>
        <v>-106606.22595218122</v>
      </c>
    </row>
    <row r="19" spans="1:11" s="409" customFormat="1" ht="13.8">
      <c r="A19" s="518" t="s">
        <v>609</v>
      </c>
      <c r="B19" s="491"/>
      <c r="C19" s="491"/>
      <c r="D19" s="529">
        <v>0</v>
      </c>
      <c r="E19" s="530">
        <f t="shared" si="0" ref="E19:E37">IF(D$39=0,0,D19/D$39)</f>
        <v>0</v>
      </c>
      <c r="F19" s="526"/>
      <c r="G19" s="531">
        <v>0</v>
      </c>
      <c r="H19" s="530">
        <f t="shared" si="1" ref="H19:H37">+G19-F19</f>
        <v>0</v>
      </c>
      <c r="I19" s="532">
        <v>0</v>
      </c>
      <c r="J19" s="527">
        <f t="shared" si="2" ref="J19:J37">(H19+I19)*((J$41/12)*24)</f>
        <v>0</v>
      </c>
      <c r="K19" s="527">
        <f t="shared" si="3" ref="K19:K37">+H19+J19+I19</f>
        <v>0</v>
      </c>
    </row>
    <row r="20" spans="1:11" s="409" customFormat="1" ht="13.8">
      <c r="A20" s="518" t="s">
        <v>610</v>
      </c>
      <c r="B20" s="491"/>
      <c r="C20" s="491"/>
      <c r="D20" s="529">
        <v>0</v>
      </c>
      <c r="E20" s="530">
        <f>IF(D$39=0,0,D20/D$39)</f>
        <v>0</v>
      </c>
      <c r="F20" s="526"/>
      <c r="G20" s="531">
        <v>0</v>
      </c>
      <c r="H20" s="530">
        <f>+G20-F20</f>
        <v>0</v>
      </c>
      <c r="I20" s="532">
        <v>0</v>
      </c>
      <c r="J20" s="527">
        <f>(H20+I20)*((J$41/12)*24)</f>
        <v>0</v>
      </c>
      <c r="K20" s="527">
        <f>+H20+J20+I20</f>
        <v>0</v>
      </c>
    </row>
    <row r="21" spans="1:11" s="409" customFormat="1" ht="13.8">
      <c r="A21" s="518" t="s">
        <v>611</v>
      </c>
      <c r="B21" s="491"/>
      <c r="C21" s="491"/>
      <c r="D21" s="529">
        <v>0</v>
      </c>
      <c r="E21" s="530">
        <f>IF(D$39=0,0,D21/D$39)</f>
        <v>0</v>
      </c>
      <c r="F21" s="526"/>
      <c r="G21" s="531">
        <v>0</v>
      </c>
      <c r="H21" s="530">
        <f>+G21-F21</f>
        <v>0</v>
      </c>
      <c r="I21" s="532">
        <v>0</v>
      </c>
      <c r="J21" s="527">
        <f>(H21+I21)*((J$41/12)*24)</f>
        <v>0</v>
      </c>
      <c r="K21" s="527">
        <f>+H21+J21+I21</f>
        <v>0</v>
      </c>
    </row>
    <row r="22" spans="1:11" s="409" customFormat="1" ht="13.8">
      <c r="A22" s="518"/>
      <c r="B22" s="491"/>
      <c r="C22" s="491"/>
      <c r="D22" s="529">
        <v>0</v>
      </c>
      <c r="E22" s="530">
        <f>IF(D$39=0,0,D22/D$39)</f>
        <v>0</v>
      </c>
      <c r="F22" s="526"/>
      <c r="G22" s="531">
        <v>0</v>
      </c>
      <c r="H22" s="530">
        <f>+G22-F22</f>
        <v>0</v>
      </c>
      <c r="I22" s="532">
        <v>0</v>
      </c>
      <c r="J22" s="527">
        <f>(H22+I22)*((J$41/12)*24)</f>
        <v>0</v>
      </c>
      <c r="K22" s="527">
        <f>+H22+J22+I22</f>
        <v>0</v>
      </c>
    </row>
    <row r="23" spans="1:11" s="409" customFormat="1" ht="13.8">
      <c r="A23" s="518"/>
      <c r="B23" s="491"/>
      <c r="C23" s="491"/>
      <c r="D23" s="529">
        <v>0</v>
      </c>
      <c r="E23" s="530">
        <f>IF(D$39=0,0,D23/D$39)</f>
        <v>0</v>
      </c>
      <c r="F23" s="526"/>
      <c r="G23" s="531">
        <v>0</v>
      </c>
      <c r="H23" s="530">
        <f>+G23-F23</f>
        <v>0</v>
      </c>
      <c r="I23" s="532">
        <v>0</v>
      </c>
      <c r="J23" s="527">
        <f>(H23+I23)*((J$41/12)*24)</f>
        <v>0</v>
      </c>
      <c r="K23" s="527">
        <f>+H23+J23+I23</f>
        <v>0</v>
      </c>
    </row>
    <row r="24" spans="1:11" s="409" customFormat="1" ht="13.8">
      <c r="A24" s="518"/>
      <c r="B24" s="491"/>
      <c r="C24" s="491"/>
      <c r="D24" s="529">
        <v>0</v>
      </c>
      <c r="E24" s="530">
        <f>IF(D$39=0,0,D24/D$39)</f>
        <v>0</v>
      </c>
      <c r="F24" s="526"/>
      <c r="G24" s="531">
        <v>0</v>
      </c>
      <c r="H24" s="530">
        <f>+G24-F24</f>
        <v>0</v>
      </c>
      <c r="I24" s="532">
        <v>0</v>
      </c>
      <c r="J24" s="527">
        <f>(H24+I24)*((J$41/12)*24)</f>
        <v>0</v>
      </c>
      <c r="K24" s="527">
        <f>+H24+J24+I24</f>
        <v>0</v>
      </c>
    </row>
    <row r="25" spans="1:11" ht="13.2">
      <c r="A25" s="518"/>
      <c r="B25" s="491"/>
      <c r="C25" s="491"/>
      <c r="D25" s="529">
        <v>0</v>
      </c>
      <c r="E25" s="530">
        <f>IF(D$39=0,0,D25/D$39)</f>
        <v>0</v>
      </c>
      <c r="F25" s="526"/>
      <c r="G25" s="531">
        <v>0</v>
      </c>
      <c r="H25" s="530">
        <f>+G25-F25</f>
        <v>0</v>
      </c>
      <c r="I25" s="532">
        <v>0</v>
      </c>
      <c r="J25" s="527">
        <f>(H25+I25)*((J$41/12)*24)</f>
        <v>0</v>
      </c>
      <c r="K25" s="527">
        <f>+H25+J25+I25</f>
        <v>0</v>
      </c>
    </row>
    <row r="26" spans="1:11" ht="13.2">
      <c r="A26" s="518"/>
      <c r="B26" s="491"/>
      <c r="C26" s="491"/>
      <c r="D26" s="529">
        <v>0</v>
      </c>
      <c r="E26" s="530">
        <f>IF(D$39=0,0,D26/D$39)</f>
        <v>0</v>
      </c>
      <c r="F26" s="526"/>
      <c r="G26" s="531">
        <v>0</v>
      </c>
      <c r="H26" s="530">
        <f>+G26-F26</f>
        <v>0</v>
      </c>
      <c r="I26" s="532">
        <v>0</v>
      </c>
      <c r="J26" s="527">
        <f>(H26+I26)*((J$41/12)*24)</f>
        <v>0</v>
      </c>
      <c r="K26" s="527">
        <f>+H26+J26+I26</f>
        <v>0</v>
      </c>
    </row>
    <row r="27" spans="1:11" ht="13.2">
      <c r="A27" s="518"/>
      <c r="B27" s="491"/>
      <c r="C27" s="491"/>
      <c r="D27" s="529">
        <v>0</v>
      </c>
      <c r="E27" s="530">
        <f>IF(D$39=0,0,D27/D$39)</f>
        <v>0</v>
      </c>
      <c r="F27" s="526"/>
      <c r="G27" s="531">
        <v>0</v>
      </c>
      <c r="H27" s="530">
        <f>+G27-F27</f>
        <v>0</v>
      </c>
      <c r="I27" s="532">
        <v>0</v>
      </c>
      <c r="J27" s="527">
        <f>(H27+I27)*((J$41/12)*24)</f>
        <v>0</v>
      </c>
      <c r="K27" s="527">
        <f>+H27+J27+I27</f>
        <v>0</v>
      </c>
    </row>
    <row r="28" spans="1:11" ht="12.75" customHeight="1">
      <c r="A28" s="518"/>
      <c r="B28" s="491"/>
      <c r="C28" s="491"/>
      <c r="D28" s="529">
        <v>0</v>
      </c>
      <c r="E28" s="530">
        <f>IF(D$39=0,0,D28/D$39)</f>
        <v>0</v>
      </c>
      <c r="F28" s="526"/>
      <c r="G28" s="531">
        <v>0</v>
      </c>
      <c r="H28" s="530">
        <f>+G28-F28</f>
        <v>0</v>
      </c>
      <c r="I28" s="532">
        <v>0</v>
      </c>
      <c r="J28" s="527">
        <f>(H28+I28)*((J$41/12)*24)</f>
        <v>0</v>
      </c>
      <c r="K28" s="527">
        <f>+H28+J28+I28</f>
        <v>0</v>
      </c>
    </row>
    <row r="29" spans="1:11" ht="13.2">
      <c r="A29" s="518"/>
      <c r="B29" s="491"/>
      <c r="C29" s="491"/>
      <c r="D29" s="529">
        <v>0</v>
      </c>
      <c r="E29" s="530">
        <f>IF(D$39=0,0,D29/D$39)</f>
        <v>0</v>
      </c>
      <c r="F29" s="526"/>
      <c r="G29" s="531">
        <v>0</v>
      </c>
      <c r="H29" s="530">
        <f>+G29-F29</f>
        <v>0</v>
      </c>
      <c r="I29" s="532">
        <v>0</v>
      </c>
      <c r="J29" s="527">
        <f>(H29+I29)*((J$41/12)*24)</f>
        <v>0</v>
      </c>
      <c r="K29" s="527">
        <f>+H29+J29+I29</f>
        <v>0</v>
      </c>
    </row>
    <row r="30" spans="1:11" ht="13.2">
      <c r="A30" s="518"/>
      <c r="B30" s="491"/>
      <c r="C30" s="491"/>
      <c r="D30" s="529">
        <v>0</v>
      </c>
      <c r="E30" s="530">
        <f>IF(D$39=0,0,D30/D$39)</f>
        <v>0</v>
      </c>
      <c r="F30" s="526"/>
      <c r="G30" s="531">
        <v>0</v>
      </c>
      <c r="H30" s="530">
        <f>+G30-F30</f>
        <v>0</v>
      </c>
      <c r="I30" s="532">
        <v>0</v>
      </c>
      <c r="J30" s="527">
        <f>(H30+I30)*((J$41/12)*24)</f>
        <v>0</v>
      </c>
      <c r="K30" s="527">
        <f>+H30+J30+I30</f>
        <v>0</v>
      </c>
    </row>
    <row r="31" spans="1:11" ht="13.2">
      <c r="A31" s="518"/>
      <c r="B31" s="491"/>
      <c r="C31" s="491"/>
      <c r="D31" s="529">
        <v>0</v>
      </c>
      <c r="E31" s="530">
        <f>IF(D$39=0,0,D31/D$39)</f>
        <v>0</v>
      </c>
      <c r="F31" s="526"/>
      <c r="G31" s="531">
        <v>0</v>
      </c>
      <c r="H31" s="530">
        <f>+G31-F31</f>
        <v>0</v>
      </c>
      <c r="I31" s="532">
        <v>0</v>
      </c>
      <c r="J31" s="527">
        <f>(H31+I31)*((J$41/12)*24)</f>
        <v>0</v>
      </c>
      <c r="K31" s="527">
        <f>+H31+J31+I31</f>
        <v>0</v>
      </c>
    </row>
    <row r="32" spans="1:11" ht="13.2">
      <c r="A32" s="518"/>
      <c r="B32" s="491"/>
      <c r="C32" s="491"/>
      <c r="D32" s="529">
        <v>0</v>
      </c>
      <c r="E32" s="530">
        <f>IF(D$39=0,0,D32/D$39)</f>
        <v>0</v>
      </c>
      <c r="F32" s="526"/>
      <c r="G32" s="531">
        <v>0</v>
      </c>
      <c r="H32" s="530">
        <f>+G32-F32</f>
        <v>0</v>
      </c>
      <c r="I32" s="532">
        <v>0</v>
      </c>
      <c r="J32" s="527">
        <f>(H32+I32)*((J$41/12)*24)</f>
        <v>0</v>
      </c>
      <c r="K32" s="527">
        <f>+H32+J32+I32</f>
        <v>0</v>
      </c>
    </row>
    <row r="33" spans="1:11" ht="13.2">
      <c r="A33" s="518"/>
      <c r="B33" s="491"/>
      <c r="C33" s="491"/>
      <c r="D33" s="529">
        <v>0</v>
      </c>
      <c r="E33" s="530">
        <f>IF(D$39=0,0,D33/D$39)</f>
        <v>0</v>
      </c>
      <c r="F33" s="526"/>
      <c r="G33" s="531">
        <v>0</v>
      </c>
      <c r="H33" s="530">
        <f>+G33-F33</f>
        <v>0</v>
      </c>
      <c r="I33" s="532">
        <v>0</v>
      </c>
      <c r="J33" s="527">
        <f>(H33+I33)*((J$41/12)*24)</f>
        <v>0</v>
      </c>
      <c r="K33" s="527">
        <f>+H33+J33+I33</f>
        <v>0</v>
      </c>
    </row>
    <row r="34" spans="1:11" ht="13.2">
      <c r="A34" s="518"/>
      <c r="B34" s="491"/>
      <c r="C34" s="491"/>
      <c r="D34" s="529">
        <v>0</v>
      </c>
      <c r="E34" s="530">
        <f>IF(D$39=0,0,D34/D$39)</f>
        <v>0</v>
      </c>
      <c r="F34" s="526"/>
      <c r="G34" s="531">
        <v>0</v>
      </c>
      <c r="H34" s="530">
        <f>+G34-F34</f>
        <v>0</v>
      </c>
      <c r="I34" s="532">
        <v>0</v>
      </c>
      <c r="J34" s="527">
        <f>(H34+I34)*((J$41/12)*24)</f>
        <v>0</v>
      </c>
      <c r="K34" s="527">
        <f>+H34+J34+I34</f>
        <v>0</v>
      </c>
    </row>
    <row r="35" spans="1:11" ht="13.5" customHeight="1">
      <c r="A35" s="518"/>
      <c r="B35" s="491"/>
      <c r="C35" s="491"/>
      <c r="D35" s="529">
        <v>0</v>
      </c>
      <c r="E35" s="530">
        <f>IF(D$39=0,0,D35/D$39)</f>
        <v>0</v>
      </c>
      <c r="F35" s="526"/>
      <c r="G35" s="531">
        <v>0</v>
      </c>
      <c r="H35" s="530">
        <f>+G35-F35</f>
        <v>0</v>
      </c>
      <c r="I35" s="532">
        <v>0</v>
      </c>
      <c r="J35" s="527">
        <f>(H35+I35)*((J$41/12)*24)</f>
        <v>0</v>
      </c>
      <c r="K35" s="527">
        <f>+H35+J35+I35</f>
        <v>0</v>
      </c>
    </row>
    <row r="36" spans="1:11" ht="13.5" customHeight="1">
      <c r="A36" s="518"/>
      <c r="B36" s="491"/>
      <c r="C36" s="491"/>
      <c r="D36" s="529">
        <v>0</v>
      </c>
      <c r="E36" s="530">
        <f>IF(D$39=0,0,D36/D$39)</f>
        <v>0</v>
      </c>
      <c r="F36" s="526"/>
      <c r="G36" s="531">
        <v>0</v>
      </c>
      <c r="H36" s="530">
        <f>+G36-F36</f>
        <v>0</v>
      </c>
      <c r="I36" s="532">
        <v>0</v>
      </c>
      <c r="J36" s="527">
        <f>(H36+I36)*((J$41/12)*24)</f>
        <v>0</v>
      </c>
      <c r="K36" s="527">
        <f>+H36+J36+I36</f>
        <v>0</v>
      </c>
    </row>
    <row r="37" spans="1:11" ht="13.2">
      <c r="A37" s="518"/>
      <c r="B37" s="491"/>
      <c r="C37" s="491"/>
      <c r="D37" s="529">
        <v>0</v>
      </c>
      <c r="E37" s="530">
        <f>IF(D$39=0,0,D37/D$39)</f>
        <v>0</v>
      </c>
      <c r="F37" s="526"/>
      <c r="G37" s="531">
        <v>0</v>
      </c>
      <c r="H37" s="530">
        <f>+G37-F37</f>
        <v>0</v>
      </c>
      <c r="I37" s="532">
        <v>0</v>
      </c>
      <c r="J37" s="527">
        <f>(H37+I37)*((J$41/12)*24)</f>
        <v>0</v>
      </c>
      <c r="K37" s="527">
        <f>+H37+J37+I37</f>
        <v>0</v>
      </c>
    </row>
    <row r="38" spans="1:11" ht="13.2">
      <c r="A38" s="518"/>
      <c r="B38" s="473"/>
      <c r="C38" s="473"/>
      <c r="D38" s="533"/>
      <c r="E38" s="534"/>
      <c r="F38" s="474"/>
      <c r="G38" s="475"/>
      <c r="H38" s="473"/>
      <c r="I38" s="473"/>
      <c r="J38" s="473"/>
      <c r="K38" s="473"/>
    </row>
    <row r="39" spans="1:11" ht="13.2">
      <c r="A39" s="518">
        <v>4</v>
      </c>
      <c r="B39" s="297" t="s">
        <v>568</v>
      </c>
      <c r="C39" s="297"/>
      <c r="D39" s="535">
        <f>SUM(D18:D38)</f>
        <v>583990.69180553209</v>
      </c>
      <c r="E39" s="535">
        <f>SUM(E18:E38)</f>
        <v>1</v>
      </c>
      <c r="F39" s="535">
        <f>SUM(F18:F38)</f>
        <v>571863.30999999994</v>
      </c>
      <c r="G39" s="535">
        <f>SUM(G18:G38)</f>
        <v>471763.56732189551</v>
      </c>
      <c r="H39" s="535">
        <f>SUM(H18:H38)</f>
        <v>-100099.74267810443</v>
      </c>
      <c r="I39" s="535"/>
      <c r="J39" s="535">
        <f>SUM(J18:J38)</f>
        <v>-6506.4832740767888</v>
      </c>
      <c r="K39" s="535">
        <f>SUM(K18:K38)</f>
        <v>-106606.22595218122</v>
      </c>
    </row>
    <row r="40" spans="1:11" ht="13.2">
      <c r="A40" s="518"/>
      <c r="B40" s="297"/>
      <c r="C40" s="297"/>
      <c r="D40" s="535"/>
      <c r="E40" s="535"/>
      <c r="F40" s="535"/>
      <c r="G40" s="535"/>
      <c r="H40" s="535"/>
      <c r="I40" s="535"/>
      <c r="J40" s="535"/>
      <c r="K40" s="535"/>
    </row>
    <row r="41" spans="1:11" ht="13.2">
      <c r="A41" s="518"/>
      <c r="B41" s="297"/>
      <c r="C41" s="297"/>
      <c r="D41" s="535"/>
      <c r="E41" s="535"/>
      <c r="F41" s="535"/>
      <c r="G41" s="535" t="s">
        <v>544</v>
      </c>
      <c r="H41" s="535"/>
      <c r="I41" s="535"/>
      <c r="J41" s="726">
        <f>'6-True-Up Interest'!H17</f>
        <v>0.0325</v>
      </c>
      <c r="K41" s="535"/>
    </row>
    <row r="42" spans="1:11" ht="13.2">
      <c r="A42" s="518"/>
      <c r="B42" s="297"/>
      <c r="C42" s="297"/>
      <c r="D42" s="535"/>
      <c r="E42" s="535"/>
      <c r="F42" s="535"/>
      <c r="G42" s="535" t="s">
        <v>545</v>
      </c>
      <c r="H42" s="535"/>
      <c r="I42" s="535"/>
      <c r="J42" s="535">
        <f>+J39</f>
        <v>-6506.4832740767888</v>
      </c>
      <c r="K42" s="535"/>
    </row>
    <row r="43" spans="1:12" ht="13.2">
      <c r="A43" s="518"/>
      <c r="B43" s="297" t="s">
        <v>224</v>
      </c>
      <c r="C43" s="297"/>
      <c r="D43" s="297"/>
      <c r="E43" s="297"/>
      <c r="F43" s="297"/>
      <c r="G43" s="297"/>
      <c r="H43" s="297"/>
      <c r="I43" s="297"/>
      <c r="J43" s="297"/>
      <c r="K43" s="297"/>
      <c r="L43" s="297"/>
    </row>
    <row r="44" spans="1:12" ht="13.2">
      <c r="A44" s="518"/>
      <c r="B44" s="297" t="s">
        <v>664</v>
      </c>
      <c r="C44" s="297"/>
      <c r="D44" s="297"/>
      <c r="E44" s="297"/>
      <c r="F44" s="297"/>
      <c r="G44" s="297"/>
      <c r="H44" s="297"/>
      <c r="I44" s="297"/>
      <c r="J44" s="297"/>
      <c r="K44" s="297"/>
      <c r="L44" s="297"/>
    </row>
    <row r="45" spans="1:12" ht="13.2">
      <c r="A45" s="518"/>
      <c r="B45" s="299" t="s">
        <v>682</v>
      </c>
      <c r="C45" s="297"/>
      <c r="D45" s="297"/>
      <c r="E45" s="297"/>
      <c r="F45" s="297"/>
      <c r="G45" s="297"/>
      <c r="H45" s="297"/>
      <c r="I45" s="297"/>
      <c r="J45" s="297"/>
      <c r="K45" s="297"/>
      <c r="L45" s="297"/>
    </row>
    <row r="46" spans="1:12" ht="13.2">
      <c r="A46" s="518"/>
      <c r="B46" s="297" t="s">
        <v>670</v>
      </c>
      <c r="C46" s="297"/>
      <c r="D46" s="297"/>
      <c r="E46" s="297"/>
      <c r="F46" s="297"/>
      <c r="G46" s="297"/>
      <c r="H46" s="297"/>
      <c r="I46" s="297"/>
      <c r="J46" s="297"/>
      <c r="K46" s="297"/>
      <c r="L46" s="297"/>
    </row>
    <row r="47" spans="1:12" ht="13.2">
      <c r="A47" s="518"/>
      <c r="B47" s="25" t="s">
        <v>671</v>
      </c>
      <c r="C47" s="297"/>
      <c r="D47" s="297"/>
      <c r="E47" s="297"/>
      <c r="F47" s="297"/>
      <c r="G47" s="297"/>
      <c r="H47" s="297"/>
      <c r="I47" s="297"/>
      <c r="J47" s="297"/>
      <c r="K47" s="297"/>
      <c r="L47" s="297"/>
    </row>
    <row r="48" spans="1:12" ht="13.2">
      <c r="A48" s="518"/>
      <c r="B48" s="25" t="s">
        <v>822</v>
      </c>
      <c r="C48" s="297"/>
      <c r="D48" s="297"/>
      <c r="E48" s="297"/>
      <c r="F48" s="297"/>
      <c r="G48" s="297"/>
      <c r="H48" s="297"/>
      <c r="I48" s="297"/>
      <c r="J48" s="297"/>
      <c r="K48" s="297"/>
      <c r="L48" s="297"/>
    </row>
    <row r="49" spans="1:12" ht="13.2">
      <c r="A49" s="518"/>
      <c r="B49" s="297" t="s">
        <v>646</v>
      </c>
      <c r="C49" s="297"/>
      <c r="D49" s="297"/>
      <c r="E49" s="297"/>
      <c r="F49" s="297"/>
      <c r="G49" s="297"/>
      <c r="H49" s="297"/>
      <c r="I49" s="297"/>
      <c r="J49" s="297"/>
      <c r="K49" s="297"/>
      <c r="L49" s="297"/>
    </row>
    <row r="50" spans="1:12" ht="13.2">
      <c r="A50" s="518"/>
      <c r="B50" s="476" t="s">
        <v>672</v>
      </c>
      <c r="C50" s="297"/>
      <c r="D50" s="297"/>
      <c r="E50" s="297"/>
      <c r="F50" s="297"/>
      <c r="G50" s="297"/>
      <c r="H50" s="297"/>
      <c r="I50" s="297"/>
      <c r="J50" s="297"/>
      <c r="K50" s="297"/>
      <c r="L50" s="297"/>
    </row>
    <row r="51" spans="1:12" ht="13.2">
      <c r="A51" s="518"/>
      <c r="J51" s="297"/>
      <c r="K51" s="297"/>
      <c r="L51" s="297"/>
    </row>
    <row r="52" spans="1:12" ht="13.2">
      <c r="A52" s="518"/>
      <c r="C52" s="297"/>
      <c r="D52" s="297"/>
      <c r="E52" s="297"/>
      <c r="F52" s="297"/>
      <c r="G52" s="297"/>
      <c r="H52" s="299"/>
      <c r="I52" s="297"/>
      <c r="J52" s="297"/>
      <c r="K52" s="297"/>
      <c r="L52" s="297"/>
    </row>
    <row r="53" spans="1:12" ht="13.2">
      <c r="A53" s="518"/>
      <c r="C53" s="297"/>
      <c r="D53" s="297"/>
      <c r="E53" s="297"/>
      <c r="F53" s="297"/>
      <c r="G53" s="297"/>
      <c r="H53" s="299"/>
      <c r="I53" s="297"/>
      <c r="J53" s="297"/>
      <c r="K53" s="297"/>
      <c r="L53" s="297"/>
    </row>
    <row r="54" spans="1:10" ht="13.2">
      <c r="A54" s="518"/>
      <c r="B54" s="477"/>
      <c r="C54" s="477"/>
      <c r="D54" s="27"/>
      <c r="E54" s="27"/>
      <c r="F54" s="27"/>
      <c r="G54" s="27"/>
      <c r="H54" s="27"/>
      <c r="I54" s="477"/>
      <c r="J54" s="477"/>
    </row>
    <row r="55" spans="1:10" ht="13.2">
      <c r="A55" s="536" t="s">
        <v>612</v>
      </c>
      <c r="C55" s="477"/>
      <c r="D55" s="27"/>
      <c r="E55" s="27"/>
      <c r="F55" s="27"/>
      <c r="G55" s="27"/>
      <c r="H55" s="27"/>
      <c r="I55" s="477"/>
      <c r="J55" s="477"/>
    </row>
    <row r="56" spans="1:10" ht="13.2">
      <c r="A56" s="537"/>
      <c r="B56" s="55" t="s">
        <v>241</v>
      </c>
      <c r="C56" s="479" t="s">
        <v>242</v>
      </c>
      <c r="D56" s="478" t="s">
        <v>243</v>
      </c>
      <c r="E56" s="478" t="s">
        <v>244</v>
      </c>
      <c r="F56" s="55"/>
      <c r="J56" s="477"/>
    </row>
    <row r="57" spans="1:10" ht="13.2">
      <c r="A57" s="537"/>
      <c r="B57" s="480" t="str">
        <f>+A55</f>
        <v>Prior Period Adjustment</v>
      </c>
      <c r="C57" s="481" t="s">
        <v>17</v>
      </c>
      <c r="D57" s="482" t="s">
        <v>442</v>
      </c>
      <c r="E57" s="482" t="s">
        <v>19</v>
      </c>
      <c r="J57" s="477"/>
    </row>
    <row r="58" spans="1:10" ht="13.2">
      <c r="A58" s="537"/>
      <c r="B58" s="483" t="s">
        <v>613</v>
      </c>
      <c r="C58" s="484" t="s">
        <v>546</v>
      </c>
      <c r="D58" s="484" t="s">
        <v>504</v>
      </c>
      <c r="E58" s="484" t="s">
        <v>547</v>
      </c>
      <c r="J58" s="477"/>
    </row>
    <row r="59" spans="1:10" ht="13.2">
      <c r="A59" s="537" t="s">
        <v>166</v>
      </c>
      <c r="B59" s="485">
        <v>0</v>
      </c>
      <c r="C59" s="486">
        <v>0</v>
      </c>
      <c r="D59" s="486">
        <v>0</v>
      </c>
      <c r="E59" s="487">
        <f>+C59+D59</f>
        <v>0</v>
      </c>
      <c r="J59" s="477"/>
    </row>
    <row r="60" spans="1:10" ht="13.2">
      <c r="A60" s="537"/>
      <c r="B60" s="488"/>
      <c r="C60" s="51"/>
      <c r="D60" s="51"/>
      <c r="E60" s="391"/>
      <c r="J60" s="477"/>
    </row>
    <row r="61" spans="1:10" ht="13.2">
      <c r="A61" s="537"/>
      <c r="C61" s="477"/>
      <c r="D61" s="477"/>
      <c r="E61" s="477"/>
      <c r="F61" s="477"/>
      <c r="G61" s="477"/>
      <c r="H61" s="18"/>
      <c r="J61" s="477"/>
    </row>
    <row r="62" spans="1:10" ht="66" customHeight="1">
      <c r="A62" s="537"/>
      <c r="C62" s="511"/>
      <c r="D62" s="489"/>
      <c r="E62" s="489"/>
      <c r="F62" s="489"/>
      <c r="G62" s="489"/>
      <c r="H62" s="489"/>
      <c r="I62" s="489"/>
      <c r="J62" s="477"/>
    </row>
    <row r="63" spans="1:10" ht="56.25" customHeight="1">
      <c r="A63" s="538" t="s">
        <v>224</v>
      </c>
      <c r="B63" s="123" t="s">
        <v>73</v>
      </c>
      <c r="C63" s="762" t="s">
        <v>774</v>
      </c>
      <c r="D63" s="762"/>
      <c r="E63" s="762"/>
      <c r="F63" s="762"/>
      <c r="G63" s="762"/>
      <c r="H63" s="762"/>
      <c r="I63" s="762"/>
      <c r="J63" s="762"/>
    </row>
    <row r="64" spans="1:10" ht="27" customHeight="1">
      <c r="A64" s="537"/>
      <c r="B64" s="457" t="s">
        <v>74</v>
      </c>
      <c r="C64" s="757" t="s">
        <v>614</v>
      </c>
      <c r="D64" s="757"/>
      <c r="E64" s="757"/>
      <c r="F64" s="757"/>
      <c r="G64" s="757"/>
      <c r="H64" s="757"/>
      <c r="I64" s="757"/>
      <c r="J64" s="477"/>
    </row>
    <row r="68" ht="24" customHeight="1"/>
  </sheetData>
  <mergeCells count="4">
    <mergeCell ref="C64:I64"/>
    <mergeCell ref="D10:E10"/>
    <mergeCell ref="D11:E11"/>
    <mergeCell ref="C63:J63"/>
  </mergeCells>
  <pageMargins left="0.25" right="0.25" top="0.75" bottom="0.75" header="0.3" footer="0.3"/>
  <pageSetup orientation="landscape" scale="55"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78"/>
  <sheetViews>
    <sheetView zoomScale="85" zoomScaleNormal="85" zoomScaleSheetLayoutView="85" workbookViewId="0" topLeftCell="A1"/>
  </sheetViews>
  <sheetFormatPr defaultColWidth="8.81555555555556" defaultRowHeight="13.5"/>
  <cols>
    <col min="1" max="1" width="4.77777777777778" style="13" customWidth="1"/>
    <col min="2" max="2" width="29" style="15" bestFit="1" customWidth="1"/>
    <col min="3" max="3" width="20" style="15" customWidth="1"/>
    <col min="4" max="4" width="19.2222222222222" style="15" customWidth="1"/>
    <col min="5" max="5" width="16" style="15" customWidth="1"/>
    <col min="6" max="6" width="17.2222222222222" style="15" customWidth="1"/>
    <col min="7" max="7" width="21.2222222222222" style="15" customWidth="1"/>
    <col min="8" max="8" width="18" style="15" customWidth="1"/>
    <col min="9" max="9" width="20.7777777777778" style="15" customWidth="1"/>
    <col min="10" max="10" width="25.2222222222222" style="15" customWidth="1"/>
    <col min="11" max="14" width="11.7777777777778" style="15" customWidth="1"/>
    <col min="15" max="16" width="8.77777777777778" style="15"/>
    <col min="17" max="16384" width="8.77777777777778" style="15"/>
  </cols>
  <sheetData>
    <row r="1" spans="3:10" ht="13.2">
      <c r="C1" s="1"/>
      <c r="D1" s="1"/>
      <c r="E1" s="1"/>
      <c r="G1" s="20" t="s">
        <v>233</v>
      </c>
      <c r="H1" s="1"/>
      <c r="I1" s="1"/>
      <c r="J1" s="7" t="s">
        <v>684</v>
      </c>
    </row>
    <row r="2" spans="1:12" ht="13.2">
      <c r="A2" s="313"/>
      <c r="C2" s="305"/>
      <c r="D2" s="1"/>
      <c r="E2" s="1"/>
      <c r="F2" s="1"/>
      <c r="G2" s="356" t="s">
        <v>362</v>
      </c>
      <c r="H2" s="1"/>
      <c r="I2" s="1"/>
      <c r="J2" s="1"/>
      <c r="L2" s="306"/>
    </row>
    <row r="3" spans="1:10" ht="13.2">
      <c r="A3" s="313"/>
      <c r="C3" s="1"/>
      <c r="D3" s="1"/>
      <c r="E3" s="1"/>
      <c r="F3" s="1"/>
      <c r="G3" s="654" t="str">
        <f>'Attachment H'!$D$5</f>
        <v>NextEra Energy Transmission MidAtlantic Indiana, Inc.</v>
      </c>
      <c r="H3" s="1"/>
      <c r="I3" s="1"/>
      <c r="J3" s="1"/>
    </row>
    <row r="4" spans="1:10" ht="13.2">
      <c r="A4" s="313"/>
      <c r="C4" s="1"/>
      <c r="D4" s="1"/>
      <c r="E4" s="1"/>
      <c r="F4" s="1"/>
      <c r="G4" s="1"/>
      <c r="H4" s="1"/>
      <c r="I4" s="1"/>
      <c r="J4" s="1"/>
    </row>
    <row r="5" spans="1:10" ht="13.2">
      <c r="A5" s="313"/>
      <c r="B5" s="2"/>
      <c r="C5" s="2"/>
      <c r="D5" s="2"/>
      <c r="E5" s="2"/>
      <c r="F5" s="2"/>
      <c r="G5" s="2"/>
      <c r="H5" s="2"/>
      <c r="I5" s="2"/>
      <c r="J5" s="2"/>
    </row>
    <row r="6" spans="1:10" ht="13.2">
      <c r="A6" s="313"/>
      <c r="B6" s="2"/>
      <c r="C6" s="765" t="s">
        <v>253</v>
      </c>
      <c r="D6" s="765"/>
      <c r="E6" s="11" t="s">
        <v>255</v>
      </c>
      <c r="F6" s="11" t="s">
        <v>256</v>
      </c>
      <c r="G6" s="765" t="s">
        <v>254</v>
      </c>
      <c r="H6" s="765"/>
      <c r="I6" s="764" t="s">
        <v>252</v>
      </c>
      <c r="J6" s="764"/>
    </row>
    <row r="7" spans="1:10" s="12" customFormat="1" ht="26.4">
      <c r="A7" s="314" t="s">
        <v>240</v>
      </c>
      <c r="B7" s="3" t="s">
        <v>201</v>
      </c>
      <c r="C7" s="3" t="s">
        <v>23</v>
      </c>
      <c r="D7" s="3" t="s">
        <v>211</v>
      </c>
      <c r="E7" s="3" t="s">
        <v>615</v>
      </c>
      <c r="F7" s="3" t="s">
        <v>202</v>
      </c>
      <c r="G7" s="3" t="s">
        <v>203</v>
      </c>
      <c r="H7" s="3" t="s">
        <v>204</v>
      </c>
      <c r="I7" s="3" t="s">
        <v>23</v>
      </c>
      <c r="J7" s="3" t="s">
        <v>211</v>
      </c>
    </row>
    <row r="8" spans="1:10" s="14" customFormat="1" ht="13.2">
      <c r="A8" s="313"/>
      <c r="B8" s="11" t="s">
        <v>241</v>
      </c>
      <c r="C8" s="11" t="s">
        <v>242</v>
      </c>
      <c r="D8" s="11" t="s">
        <v>243</v>
      </c>
      <c r="E8" s="3" t="s">
        <v>244</v>
      </c>
      <c r="F8" s="3" t="s">
        <v>246</v>
      </c>
      <c r="G8" s="3" t="s">
        <v>245</v>
      </c>
      <c r="H8" s="3" t="s">
        <v>247</v>
      </c>
      <c r="I8" s="4" t="s">
        <v>248</v>
      </c>
      <c r="J8" s="4" t="s">
        <v>249</v>
      </c>
    </row>
    <row r="9" spans="1:10" s="14" customFormat="1" ht="13.2">
      <c r="A9" s="513"/>
      <c r="B9" s="505" t="s">
        <v>617</v>
      </c>
      <c r="C9" s="356">
        <v>2</v>
      </c>
      <c r="D9" s="356">
        <v>4</v>
      </c>
      <c r="E9" s="357">
        <v>27</v>
      </c>
      <c r="F9" s="357">
        <v>31</v>
      </c>
      <c r="G9" s="357">
        <v>34</v>
      </c>
      <c r="H9" s="357">
        <v>35</v>
      </c>
      <c r="I9" s="358">
        <v>9</v>
      </c>
      <c r="J9" s="358">
        <v>11</v>
      </c>
    </row>
    <row r="10" spans="1:10" s="14" customFormat="1" ht="39.6">
      <c r="A10" s="313"/>
      <c r="B10" s="11"/>
      <c r="C10" s="408" t="s">
        <v>454</v>
      </c>
      <c r="D10" s="459" t="s">
        <v>499</v>
      </c>
      <c r="E10" s="539" t="s">
        <v>128</v>
      </c>
      <c r="F10" s="408" t="s">
        <v>663</v>
      </c>
      <c r="G10" s="408" t="s">
        <v>458</v>
      </c>
      <c r="H10" s="408" t="s">
        <v>457</v>
      </c>
      <c r="I10" s="408" t="s">
        <v>455</v>
      </c>
      <c r="J10" s="408" t="s">
        <v>456</v>
      </c>
    </row>
    <row r="11" spans="1:10" ht="13.2">
      <c r="A11" s="313">
        <v>1</v>
      </c>
      <c r="B11" s="5" t="s">
        <v>238</v>
      </c>
      <c r="C11" s="6">
        <v>2486171.48</v>
      </c>
      <c r="D11" s="6">
        <v>0</v>
      </c>
      <c r="E11" s="6">
        <v>0</v>
      </c>
      <c r="F11" s="6">
        <v>0</v>
      </c>
      <c r="G11" s="6">
        <v>0</v>
      </c>
      <c r="H11" s="514">
        <v>0</v>
      </c>
      <c r="I11" s="6">
        <v>2159158.33</v>
      </c>
      <c r="J11" s="6">
        <v>0</v>
      </c>
    </row>
    <row r="12" spans="1:10" ht="13.2">
      <c r="A12" s="313">
        <v>2</v>
      </c>
      <c r="B12" s="5" t="s">
        <v>101</v>
      </c>
      <c r="C12" s="6">
        <v>2486171.48</v>
      </c>
      <c r="D12" s="6">
        <v>0</v>
      </c>
      <c r="E12" s="6">
        <v>0</v>
      </c>
      <c r="F12" s="6">
        <v>0</v>
      </c>
      <c r="G12" s="6">
        <v>0</v>
      </c>
      <c r="H12" s="6">
        <v>0</v>
      </c>
      <c r="I12" s="514">
        <v>2176401.5699999998</v>
      </c>
      <c r="J12" s="6">
        <v>0</v>
      </c>
    </row>
    <row r="13" spans="1:10" ht="13.2">
      <c r="A13" s="313">
        <v>3</v>
      </c>
      <c r="B13" s="1" t="s">
        <v>100</v>
      </c>
      <c r="C13" s="6">
        <v>2486171.48</v>
      </c>
      <c r="D13" s="6">
        <v>0</v>
      </c>
      <c r="E13" s="6">
        <v>0</v>
      </c>
      <c r="F13" s="6">
        <v>0</v>
      </c>
      <c r="G13" s="6">
        <v>0</v>
      </c>
      <c r="H13" s="6">
        <v>0</v>
      </c>
      <c r="I13" s="514">
        <v>2168780.79</v>
      </c>
      <c r="J13" s="6">
        <v>0</v>
      </c>
    </row>
    <row r="14" spans="1:10" ht="13.2">
      <c r="A14" s="313">
        <v>4</v>
      </c>
      <c r="B14" s="1" t="s">
        <v>205</v>
      </c>
      <c r="C14" s="6">
        <v>2486171.48</v>
      </c>
      <c r="D14" s="6">
        <v>0</v>
      </c>
      <c r="E14" s="6">
        <v>0</v>
      </c>
      <c r="F14" s="6">
        <v>0</v>
      </c>
      <c r="G14" s="6">
        <v>0</v>
      </c>
      <c r="H14" s="6">
        <v>0</v>
      </c>
      <c r="I14" s="514">
        <v>2141095.52</v>
      </c>
      <c r="J14" s="6">
        <v>0</v>
      </c>
    </row>
    <row r="15" spans="1:10" ht="13.2">
      <c r="A15" s="313">
        <v>5</v>
      </c>
      <c r="B15" s="1" t="s">
        <v>91</v>
      </c>
      <c r="C15" s="6">
        <v>2486171.48</v>
      </c>
      <c r="D15" s="6">
        <v>0</v>
      </c>
      <c r="E15" s="6">
        <v>0</v>
      </c>
      <c r="F15" s="6">
        <v>0</v>
      </c>
      <c r="G15" s="6">
        <v>0</v>
      </c>
      <c r="H15" s="6">
        <v>0</v>
      </c>
      <c r="I15" s="514">
        <v>2145937.6782551669</v>
      </c>
      <c r="J15" s="6">
        <v>0</v>
      </c>
    </row>
    <row r="16" spans="1:10" ht="13.2">
      <c r="A16" s="313">
        <v>6</v>
      </c>
      <c r="B16" s="1" t="s">
        <v>90</v>
      </c>
      <c r="C16" s="6">
        <v>2486171.48</v>
      </c>
      <c r="D16" s="6">
        <v>0</v>
      </c>
      <c r="E16" s="6">
        <v>0</v>
      </c>
      <c r="F16" s="6">
        <v>0</v>
      </c>
      <c r="G16" s="6">
        <v>0</v>
      </c>
      <c r="H16" s="6">
        <v>0</v>
      </c>
      <c r="I16" s="514">
        <v>2150779.8365103337</v>
      </c>
      <c r="J16" s="6">
        <v>0</v>
      </c>
    </row>
    <row r="17" spans="1:10" ht="13.2">
      <c r="A17" s="313">
        <v>7</v>
      </c>
      <c r="B17" s="1" t="s">
        <v>111</v>
      </c>
      <c r="C17" s="6">
        <v>2486171.48</v>
      </c>
      <c r="D17" s="6">
        <v>0</v>
      </c>
      <c r="E17" s="6">
        <v>0</v>
      </c>
      <c r="F17" s="6">
        <v>0</v>
      </c>
      <c r="G17" s="6">
        <v>0</v>
      </c>
      <c r="H17" s="6">
        <v>0</v>
      </c>
      <c r="I17" s="514">
        <v>2155621.9947655005</v>
      </c>
      <c r="J17" s="6">
        <v>0</v>
      </c>
    </row>
    <row r="18" spans="1:10" ht="13.2">
      <c r="A18" s="313">
        <v>8</v>
      </c>
      <c r="B18" s="1" t="s">
        <v>98</v>
      </c>
      <c r="C18" s="6">
        <v>2486171.48</v>
      </c>
      <c r="D18" s="6">
        <v>0</v>
      </c>
      <c r="E18" s="6">
        <v>0</v>
      </c>
      <c r="F18" s="6">
        <v>0</v>
      </c>
      <c r="G18" s="6">
        <v>0</v>
      </c>
      <c r="H18" s="6">
        <v>0</v>
      </c>
      <c r="I18" s="514">
        <v>2160464.1530206674</v>
      </c>
      <c r="J18" s="6">
        <v>0</v>
      </c>
    </row>
    <row r="19" spans="1:10" ht="13.2">
      <c r="A19" s="313">
        <v>9</v>
      </c>
      <c r="B19" s="1" t="s">
        <v>206</v>
      </c>
      <c r="C19" s="6">
        <v>2486171.48</v>
      </c>
      <c r="D19" s="6">
        <v>0</v>
      </c>
      <c r="E19" s="6">
        <v>0</v>
      </c>
      <c r="F19" s="6">
        <v>0</v>
      </c>
      <c r="G19" s="6">
        <v>0</v>
      </c>
      <c r="H19" s="6">
        <v>0</v>
      </c>
      <c r="I19" s="514">
        <v>2165306.3112758342</v>
      </c>
      <c r="J19" s="6">
        <v>0</v>
      </c>
    </row>
    <row r="20" spans="1:10" ht="13.2">
      <c r="A20" s="313">
        <v>10</v>
      </c>
      <c r="B20" s="1" t="s">
        <v>96</v>
      </c>
      <c r="C20" s="6">
        <v>2486171.48</v>
      </c>
      <c r="D20" s="6">
        <v>0</v>
      </c>
      <c r="E20" s="6">
        <v>0</v>
      </c>
      <c r="F20" s="6">
        <v>0</v>
      </c>
      <c r="G20" s="6">
        <v>0</v>
      </c>
      <c r="H20" s="6">
        <v>0</v>
      </c>
      <c r="I20" s="514">
        <v>2170148.4695310011</v>
      </c>
      <c r="J20" s="6">
        <v>0</v>
      </c>
    </row>
    <row r="21" spans="1:10" ht="13.2">
      <c r="A21" s="313">
        <v>11</v>
      </c>
      <c r="B21" s="1" t="s">
        <v>102</v>
      </c>
      <c r="C21" s="6">
        <v>2486171.48</v>
      </c>
      <c r="D21" s="6">
        <v>0</v>
      </c>
      <c r="E21" s="6">
        <v>0</v>
      </c>
      <c r="F21" s="6">
        <v>0</v>
      </c>
      <c r="G21" s="6">
        <v>0</v>
      </c>
      <c r="H21" s="6">
        <v>0</v>
      </c>
      <c r="I21" s="514">
        <v>2174990.6277861679</v>
      </c>
      <c r="J21" s="6">
        <v>0</v>
      </c>
    </row>
    <row r="22" spans="1:10" ht="13.2">
      <c r="A22" s="313">
        <v>12</v>
      </c>
      <c r="B22" s="1" t="s">
        <v>95</v>
      </c>
      <c r="C22" s="6">
        <v>2486171.48</v>
      </c>
      <c r="D22" s="6">
        <v>0</v>
      </c>
      <c r="E22" s="6">
        <v>0</v>
      </c>
      <c r="F22" s="6">
        <v>0</v>
      </c>
      <c r="G22" s="6">
        <v>0</v>
      </c>
      <c r="H22" s="6">
        <v>0</v>
      </c>
      <c r="I22" s="514">
        <v>2179832.7860413347</v>
      </c>
      <c r="J22" s="6">
        <v>0</v>
      </c>
    </row>
    <row r="23" spans="1:10" ht="13.2">
      <c r="A23" s="313">
        <v>13</v>
      </c>
      <c r="B23" s="1" t="s">
        <v>239</v>
      </c>
      <c r="C23" s="6">
        <v>2486171.48</v>
      </c>
      <c r="D23" s="6">
        <v>0</v>
      </c>
      <c r="E23" s="6">
        <v>0</v>
      </c>
      <c r="F23" s="6">
        <v>0</v>
      </c>
      <c r="G23" s="6">
        <v>0</v>
      </c>
      <c r="H23" s="6">
        <v>0</v>
      </c>
      <c r="I23" s="514">
        <v>2184674.9442965016</v>
      </c>
      <c r="J23" s="6">
        <v>0</v>
      </c>
    </row>
    <row r="24" spans="1:10" ht="13.8" thickBot="1">
      <c r="A24" s="313">
        <v>14</v>
      </c>
      <c r="B24" s="7" t="s">
        <v>363</v>
      </c>
      <c r="C24" s="588">
        <f t="shared" si="0" ref="C24:J24">SUM(C11:C23)/13</f>
        <v>2486171.48</v>
      </c>
      <c r="D24" s="588">
        <f>SUM(D11:D23)/13</f>
        <v>0</v>
      </c>
      <c r="E24" s="588">
        <f>SUM(E11:E23)/13</f>
        <v>0</v>
      </c>
      <c r="F24" s="588">
        <f>SUM(F11:F23)/13</f>
        <v>0</v>
      </c>
      <c r="G24" s="588">
        <f>SUM(G11:G23)/13</f>
        <v>0</v>
      </c>
      <c r="H24" s="588">
        <f>SUM(H11:H23)/13</f>
        <v>0</v>
      </c>
      <c r="I24" s="588">
        <f>SUM(I11:I23)/13</f>
        <v>2164091.7701140391</v>
      </c>
      <c r="J24" s="588">
        <f>SUM(J11:J23)/13</f>
        <v>0</v>
      </c>
    </row>
    <row r="25" spans="1:9" ht="13.8" thickTop="1">
      <c r="A25" s="313"/>
      <c r="B25" s="1"/>
      <c r="C25" s="9"/>
      <c r="D25" s="16"/>
      <c r="E25" s="16"/>
      <c r="F25" s="16"/>
      <c r="G25" s="9"/>
      <c r="H25" s="9"/>
      <c r="I25" s="9"/>
    </row>
    <row r="26" spans="1:9" ht="13.2">
      <c r="A26" s="313"/>
      <c r="B26" s="10"/>
      <c r="C26" s="764" t="s">
        <v>257</v>
      </c>
      <c r="D26" s="764"/>
      <c r="E26" s="764"/>
      <c r="F26" s="764"/>
      <c r="G26" s="764"/>
      <c r="H26" s="764"/>
      <c r="I26" s="764"/>
    </row>
    <row r="27" spans="1:9" ht="72" customHeight="1">
      <c r="A27" s="313" t="s">
        <v>240</v>
      </c>
      <c r="B27" s="11" t="s">
        <v>201</v>
      </c>
      <c r="C27" s="4" t="s">
        <v>207</v>
      </c>
      <c r="D27" s="4" t="s">
        <v>208</v>
      </c>
      <c r="E27" s="4" t="s">
        <v>530</v>
      </c>
      <c r="F27" s="4" t="s">
        <v>531</v>
      </c>
      <c r="G27" s="4" t="s">
        <v>532</v>
      </c>
      <c r="H27" s="4" t="s">
        <v>616</v>
      </c>
      <c r="I27" s="4" t="s">
        <v>365</v>
      </c>
    </row>
    <row r="28" spans="1:9" s="14" customFormat="1" ht="13.2">
      <c r="A28" s="313"/>
      <c r="B28" s="11" t="s">
        <v>241</v>
      </c>
      <c r="C28" s="4" t="s">
        <v>242</v>
      </c>
      <c r="D28" s="4" t="s">
        <v>243</v>
      </c>
      <c r="E28" s="4" t="s">
        <v>244</v>
      </c>
      <c r="F28" s="4" t="s">
        <v>246</v>
      </c>
      <c r="G28" s="4" t="s">
        <v>245</v>
      </c>
      <c r="H28" s="4" t="s">
        <v>247</v>
      </c>
      <c r="I28" s="4" t="s">
        <v>248</v>
      </c>
    </row>
    <row r="29" spans="1:9" s="14" customFormat="1" ht="13.2">
      <c r="A29" s="513"/>
      <c r="B29" s="505" t="s">
        <v>617</v>
      </c>
      <c r="C29" s="358">
        <v>28</v>
      </c>
      <c r="D29" s="358">
        <v>29</v>
      </c>
      <c r="E29" s="358">
        <v>22</v>
      </c>
      <c r="F29" s="358">
        <v>23</v>
      </c>
      <c r="G29" s="358">
        <v>24</v>
      </c>
      <c r="H29" s="358">
        <v>25</v>
      </c>
      <c r="I29" s="358">
        <v>26</v>
      </c>
    </row>
    <row r="30" spans="1:9" s="14" customFormat="1" ht="26.4">
      <c r="A30" s="313"/>
      <c r="B30" s="11"/>
      <c r="C30" s="460" t="s">
        <v>523</v>
      </c>
      <c r="D30" s="4" t="s">
        <v>524</v>
      </c>
      <c r="E30" s="4" t="s">
        <v>525</v>
      </c>
      <c r="F30" s="4" t="s">
        <v>526</v>
      </c>
      <c r="G30" s="4" t="s">
        <v>527</v>
      </c>
      <c r="H30" s="4" t="s">
        <v>528</v>
      </c>
      <c r="I30" s="4" t="s">
        <v>529</v>
      </c>
    </row>
    <row r="31" spans="1:9" ht="13.2">
      <c r="A31" s="313">
        <v>15</v>
      </c>
      <c r="B31" s="5" t="s">
        <v>238</v>
      </c>
      <c r="C31" s="6">
        <v>0</v>
      </c>
      <c r="D31" s="6">
        <v>0</v>
      </c>
      <c r="E31" s="6">
        <v>0</v>
      </c>
      <c r="F31" s="6">
        <v>0</v>
      </c>
      <c r="G31" s="6">
        <v>0</v>
      </c>
      <c r="H31" s="6">
        <v>0</v>
      </c>
      <c r="I31" s="6">
        <v>0</v>
      </c>
    </row>
    <row r="32" spans="1:9" ht="13.2">
      <c r="A32" s="313">
        <v>16</v>
      </c>
      <c r="B32" s="5" t="s">
        <v>101</v>
      </c>
      <c r="C32" s="6">
        <v>0</v>
      </c>
      <c r="D32" s="6">
        <v>0</v>
      </c>
      <c r="E32" s="430"/>
      <c r="F32" s="430"/>
      <c r="G32" s="430"/>
      <c r="H32" s="430"/>
      <c r="I32" s="6">
        <v>0</v>
      </c>
    </row>
    <row r="33" spans="1:9" ht="13.2">
      <c r="A33" s="313">
        <v>17</v>
      </c>
      <c r="B33" s="1" t="s">
        <v>100</v>
      </c>
      <c r="C33" s="6">
        <v>0</v>
      </c>
      <c r="D33" s="6">
        <v>0</v>
      </c>
      <c r="E33" s="430"/>
      <c r="F33" s="430"/>
      <c r="G33" s="430"/>
      <c r="H33" s="430"/>
      <c r="I33" s="6">
        <v>0</v>
      </c>
    </row>
    <row r="34" spans="1:9" ht="13.2">
      <c r="A34" s="313">
        <v>18</v>
      </c>
      <c r="B34" s="1" t="s">
        <v>205</v>
      </c>
      <c r="C34" s="6">
        <v>0</v>
      </c>
      <c r="D34" s="6">
        <v>0</v>
      </c>
      <c r="E34" s="430"/>
      <c r="F34" s="430"/>
      <c r="G34" s="430"/>
      <c r="H34" s="430"/>
      <c r="I34" s="6">
        <v>0</v>
      </c>
    </row>
    <row r="35" spans="1:9" ht="13.2">
      <c r="A35" s="313">
        <v>19</v>
      </c>
      <c r="B35" s="1" t="s">
        <v>91</v>
      </c>
      <c r="C35" s="6">
        <v>0</v>
      </c>
      <c r="D35" s="6">
        <v>0</v>
      </c>
      <c r="E35" s="430"/>
      <c r="F35" s="430"/>
      <c r="G35" s="430"/>
      <c r="H35" s="430"/>
      <c r="I35" s="6">
        <v>0</v>
      </c>
    </row>
    <row r="36" spans="1:9" ht="13.2">
      <c r="A36" s="313">
        <v>20</v>
      </c>
      <c r="B36" s="1" t="s">
        <v>90</v>
      </c>
      <c r="C36" s="6">
        <v>0</v>
      </c>
      <c r="D36" s="6">
        <v>0</v>
      </c>
      <c r="E36" s="430"/>
      <c r="F36" s="430"/>
      <c r="G36" s="430"/>
      <c r="H36" s="430"/>
      <c r="I36" s="6">
        <v>0</v>
      </c>
    </row>
    <row r="37" spans="1:9" ht="13.2">
      <c r="A37" s="313">
        <v>21</v>
      </c>
      <c r="B37" s="1" t="s">
        <v>111</v>
      </c>
      <c r="C37" s="6">
        <v>0</v>
      </c>
      <c r="D37" s="6">
        <v>0</v>
      </c>
      <c r="E37" s="430"/>
      <c r="F37" s="430"/>
      <c r="G37" s="430"/>
      <c r="H37" s="430"/>
      <c r="I37" s="6">
        <v>0</v>
      </c>
    </row>
    <row r="38" spans="1:9" ht="13.2">
      <c r="A38" s="313">
        <v>22</v>
      </c>
      <c r="B38" s="1" t="s">
        <v>98</v>
      </c>
      <c r="C38" s="6">
        <v>0</v>
      </c>
      <c r="D38" s="6">
        <v>0</v>
      </c>
      <c r="E38" s="430"/>
      <c r="F38" s="430"/>
      <c r="G38" s="430"/>
      <c r="H38" s="430"/>
      <c r="I38" s="6">
        <v>0</v>
      </c>
    </row>
    <row r="39" spans="1:9" ht="13.2">
      <c r="A39" s="313">
        <v>23</v>
      </c>
      <c r="B39" s="1" t="s">
        <v>206</v>
      </c>
      <c r="C39" s="6">
        <v>0</v>
      </c>
      <c r="D39" s="6">
        <v>0</v>
      </c>
      <c r="E39" s="430"/>
      <c r="F39" s="430"/>
      <c r="G39" s="430"/>
      <c r="H39" s="430"/>
      <c r="I39" s="6">
        <v>0</v>
      </c>
    </row>
    <row r="40" spans="1:9" ht="13.2">
      <c r="A40" s="313">
        <v>24</v>
      </c>
      <c r="B40" s="1" t="s">
        <v>96</v>
      </c>
      <c r="C40" s="6">
        <v>0</v>
      </c>
      <c r="D40" s="6">
        <v>0</v>
      </c>
      <c r="E40" s="430"/>
      <c r="F40" s="430"/>
      <c r="G40" s="430"/>
      <c r="H40" s="430"/>
      <c r="I40" s="6">
        <v>0</v>
      </c>
    </row>
    <row r="41" spans="1:9" ht="13.2">
      <c r="A41" s="313">
        <v>25</v>
      </c>
      <c r="B41" s="1" t="s">
        <v>102</v>
      </c>
      <c r="C41" s="6">
        <v>0</v>
      </c>
      <c r="D41" s="6">
        <v>0</v>
      </c>
      <c r="E41" s="430"/>
      <c r="F41" s="430"/>
      <c r="G41" s="430"/>
      <c r="H41" s="430"/>
      <c r="I41" s="6">
        <v>0</v>
      </c>
    </row>
    <row r="42" spans="1:9" ht="13.2">
      <c r="A42" s="313">
        <v>26</v>
      </c>
      <c r="B42" s="1" t="s">
        <v>95</v>
      </c>
      <c r="C42" s="6">
        <v>0</v>
      </c>
      <c r="D42" s="6">
        <v>0</v>
      </c>
      <c r="E42" s="430"/>
      <c r="F42" s="430"/>
      <c r="G42" s="430"/>
      <c r="H42" s="430"/>
      <c r="I42" s="6">
        <v>0</v>
      </c>
    </row>
    <row r="43" spans="1:9" ht="13.2">
      <c r="A43" s="313">
        <v>27</v>
      </c>
      <c r="B43" s="1" t="s">
        <v>239</v>
      </c>
      <c r="C43" s="6">
        <v>0</v>
      </c>
      <c r="D43" s="6">
        <v>0</v>
      </c>
      <c r="E43" s="6">
        <v>0</v>
      </c>
      <c r="F43" s="6"/>
      <c r="G43" s="6">
        <v>0</v>
      </c>
      <c r="H43" s="6">
        <v>0</v>
      </c>
      <c r="I43" s="6">
        <v>0</v>
      </c>
    </row>
    <row r="44" spans="1:9" ht="13.8" thickBot="1">
      <c r="A44" s="313">
        <v>28</v>
      </c>
      <c r="B44" s="7" t="s">
        <v>364</v>
      </c>
      <c r="C44" s="588">
        <f t="shared" si="1" ref="C44:I44">SUM(C31:C43)/13</f>
        <v>0</v>
      </c>
      <c r="D44" s="8">
        <f>SUM(D31:D43)/13</f>
        <v>0</v>
      </c>
      <c r="E44" s="8">
        <f>(E31+E43)/2</f>
        <v>0</v>
      </c>
      <c r="F44" s="588">
        <f>'4a-Projection ADIT'!J95</f>
        <v>23625.059802494761</v>
      </c>
      <c r="G44" s="588">
        <f>+'4a-Projection ADIT'!J126</f>
        <v>87018</v>
      </c>
      <c r="H44" s="588">
        <f>+'4a-Projection ADIT'!J33</f>
        <v>0</v>
      </c>
      <c r="I44" s="8">
        <f>SUM(I31:I43)/13</f>
        <v>0</v>
      </c>
    </row>
    <row r="45" spans="1:9" ht="13.8" thickTop="1">
      <c r="A45" s="313"/>
      <c r="B45" s="1"/>
      <c r="I45" s="16"/>
    </row>
    <row r="46" spans="1:1" ht="13.2">
      <c r="A46" s="313"/>
    </row>
    <row r="47" spans="6:6" ht="13.2">
      <c r="F47" s="600" t="s">
        <v>233</v>
      </c>
    </row>
    <row r="48" spans="1:15" ht="13.2">
      <c r="A48" s="438"/>
      <c r="B48" s="304"/>
      <c r="C48" s="439"/>
      <c r="D48" s="439"/>
      <c r="E48" s="439"/>
      <c r="F48" s="356" t="s">
        <v>362</v>
      </c>
      <c r="G48" s="439"/>
      <c r="L48" s="14"/>
      <c r="M48" s="14"/>
      <c r="N48" s="14"/>
      <c r="O48" s="14"/>
    </row>
    <row r="49" spans="1:15" ht="13.2">
      <c r="A49" s="438"/>
      <c r="C49" s="439"/>
      <c r="D49" s="439"/>
      <c r="E49" s="439"/>
      <c r="F49" s="654" t="str">
        <f>'Attachment H'!$D$5</f>
        <v>NextEra Energy Transmission MidAtlantic Indiana, Inc.</v>
      </c>
      <c r="G49" s="440"/>
      <c r="H49" s="298"/>
      <c r="I49" s="298"/>
      <c r="K49" s="14"/>
      <c r="L49" s="14"/>
      <c r="M49" s="14"/>
      <c r="N49" s="14"/>
      <c r="O49" s="14"/>
    </row>
    <row r="50" spans="1:15" s="564" customFormat="1" ht="13.2">
      <c r="A50" s="601"/>
      <c r="B50" s="386" t="s">
        <v>618</v>
      </c>
      <c r="C50" s="439"/>
      <c r="D50" s="439"/>
      <c r="E50" s="439"/>
      <c r="F50" s="599"/>
      <c r="G50" s="440"/>
      <c r="H50" s="298"/>
      <c r="I50" s="298"/>
      <c r="K50" s="14"/>
      <c r="L50" s="14"/>
      <c r="M50" s="14"/>
      <c r="N50" s="14"/>
      <c r="O50" s="14"/>
    </row>
    <row r="51" spans="1:16" ht="13.2">
      <c r="A51" s="438"/>
      <c r="B51" s="304" t="s">
        <v>241</v>
      </c>
      <c r="C51" s="304" t="s">
        <v>242</v>
      </c>
      <c r="D51" s="304" t="s">
        <v>243</v>
      </c>
      <c r="E51" s="304" t="s">
        <v>244</v>
      </c>
      <c r="F51" s="386" t="s">
        <v>246</v>
      </c>
      <c r="G51" s="386" t="s">
        <v>245</v>
      </c>
      <c r="H51" s="386" t="s">
        <v>247</v>
      </c>
      <c r="I51" s="386" t="s">
        <v>248</v>
      </c>
      <c r="J51" s="306" t="s">
        <v>188</v>
      </c>
      <c r="K51" s="298"/>
      <c r="L51" s="14"/>
      <c r="M51" s="14"/>
      <c r="N51" s="14"/>
      <c r="O51" s="14"/>
      <c r="P51" s="14"/>
    </row>
    <row r="52" spans="1:16" ht="79.2">
      <c r="A52" s="438">
        <v>29</v>
      </c>
      <c r="B52" s="441" t="s">
        <v>506</v>
      </c>
      <c r="C52" s="296"/>
      <c r="D52" s="442" t="s">
        <v>17</v>
      </c>
      <c r="E52" s="442" t="s">
        <v>507</v>
      </c>
      <c r="F52" s="442" t="s">
        <v>508</v>
      </c>
      <c r="G52" s="442" t="s">
        <v>687</v>
      </c>
      <c r="H52" s="443" t="s">
        <v>509</v>
      </c>
      <c r="I52" s="443" t="s">
        <v>510</v>
      </c>
      <c r="J52" s="441"/>
      <c r="K52" s="441"/>
      <c r="L52" s="441"/>
      <c r="M52" s="444"/>
      <c r="N52" s="14"/>
      <c r="O52" s="14"/>
      <c r="P52" s="14"/>
    </row>
    <row r="53" spans="1:16" ht="13.2">
      <c r="A53" s="438" t="s">
        <v>511</v>
      </c>
      <c r="B53" s="424"/>
      <c r="C53" s="445" t="s">
        <v>512</v>
      </c>
      <c r="D53" s="446">
        <v>0</v>
      </c>
      <c r="E53" s="446">
        <v>0</v>
      </c>
      <c r="F53" s="447"/>
      <c r="G53" s="447"/>
      <c r="H53" s="446"/>
      <c r="I53" s="448">
        <f>+H53*E53*D53</f>
        <v>0</v>
      </c>
      <c r="J53" s="424"/>
      <c r="K53" s="424"/>
      <c r="L53" s="424"/>
      <c r="M53" s="444"/>
      <c r="N53" s="14"/>
      <c r="O53" s="14"/>
      <c r="P53" s="14"/>
    </row>
    <row r="54" spans="1:16" ht="13.2">
      <c r="A54" s="438" t="s">
        <v>513</v>
      </c>
      <c r="B54" s="424"/>
      <c r="C54" s="445" t="s">
        <v>514</v>
      </c>
      <c r="D54" s="449">
        <v>0</v>
      </c>
      <c r="E54" s="446">
        <v>0</v>
      </c>
      <c r="F54" s="447"/>
      <c r="G54" s="447"/>
      <c r="H54" s="446"/>
      <c r="I54" s="448">
        <f>+H54*E54*D54</f>
        <v>0</v>
      </c>
      <c r="J54" s="424"/>
      <c r="K54" s="424"/>
      <c r="L54" s="424"/>
      <c r="M54" s="444"/>
      <c r="N54" s="14"/>
      <c r="O54" s="14"/>
      <c r="P54" s="14"/>
    </row>
    <row r="55" spans="1:16" ht="13.2">
      <c r="A55" s="438" t="s">
        <v>515</v>
      </c>
      <c r="B55" s="424"/>
      <c r="C55" s="445" t="s">
        <v>516</v>
      </c>
      <c r="D55" s="449"/>
      <c r="E55" s="446"/>
      <c r="F55" s="447"/>
      <c r="G55" s="447"/>
      <c r="H55" s="446"/>
      <c r="I55" s="448"/>
      <c r="J55" s="424"/>
      <c r="K55" s="424"/>
      <c r="L55" s="424"/>
      <c r="M55" s="444"/>
      <c r="N55" s="14"/>
      <c r="O55" s="14"/>
      <c r="P55" s="14"/>
    </row>
    <row r="56" spans="1:16" ht="13.2">
      <c r="A56" s="438" t="s">
        <v>517</v>
      </c>
      <c r="B56" s="424"/>
      <c r="C56" s="445" t="s">
        <v>518</v>
      </c>
      <c r="D56" s="449"/>
      <c r="E56" s="446"/>
      <c r="F56" s="447"/>
      <c r="G56" s="447"/>
      <c r="H56" s="446"/>
      <c r="I56" s="448"/>
      <c r="J56" s="424"/>
      <c r="K56" s="424"/>
      <c r="L56" s="424"/>
      <c r="M56" s="444"/>
      <c r="N56" s="14"/>
      <c r="O56" s="14"/>
      <c r="P56" s="14"/>
    </row>
    <row r="57" spans="1:16" ht="13.2">
      <c r="A57" s="438" t="s">
        <v>519</v>
      </c>
      <c r="B57" s="424"/>
      <c r="C57" s="445" t="s">
        <v>441</v>
      </c>
      <c r="D57" s="449"/>
      <c r="E57" s="446"/>
      <c r="F57" s="447"/>
      <c r="G57" s="447"/>
      <c r="H57" s="446"/>
      <c r="I57" s="448"/>
      <c r="J57" s="424"/>
      <c r="K57" s="424"/>
      <c r="L57" s="424"/>
      <c r="M57" s="444"/>
      <c r="N57" s="14"/>
      <c r="O57" s="14"/>
      <c r="P57" s="14"/>
    </row>
    <row r="58" spans="1:16" ht="13.2">
      <c r="A58" s="438" t="s">
        <v>520</v>
      </c>
      <c r="B58" s="424"/>
      <c r="C58" s="450" t="s">
        <v>441</v>
      </c>
      <c r="D58" s="451">
        <v>0</v>
      </c>
      <c r="E58" s="452">
        <v>0</v>
      </c>
      <c r="F58" s="453"/>
      <c r="G58" s="453"/>
      <c r="H58" s="452"/>
      <c r="I58" s="454">
        <f>+H58*E58*D58</f>
        <v>0</v>
      </c>
      <c r="J58" s="424"/>
      <c r="K58" s="424"/>
      <c r="L58" s="424"/>
      <c r="M58" s="444"/>
      <c r="N58" s="14"/>
      <c r="O58" s="14"/>
      <c r="P58" s="14"/>
    </row>
    <row r="59" spans="1:16" ht="13.2">
      <c r="A59" s="438">
        <v>31</v>
      </c>
      <c r="B59" s="424"/>
      <c r="C59" s="441" t="s">
        <v>19</v>
      </c>
      <c r="D59" s="455">
        <f>SUM(D53:D58)</f>
        <v>0</v>
      </c>
      <c r="E59" s="120"/>
      <c r="F59" s="14"/>
      <c r="G59" s="14"/>
      <c r="H59" s="120"/>
      <c r="I59" s="448">
        <f>SUM(I53:I58)</f>
        <v>0</v>
      </c>
      <c r="J59" s="424"/>
      <c r="K59" s="424"/>
      <c r="L59" s="424"/>
      <c r="M59" s="444"/>
      <c r="N59" s="14"/>
      <c r="O59" s="14"/>
      <c r="P59" s="14"/>
    </row>
    <row r="60" spans="1:11" ht="13.2">
      <c r="A60" s="315"/>
      <c r="B60" s="316"/>
      <c r="C60" s="317"/>
      <c r="D60" s="317"/>
      <c r="E60" s="317"/>
      <c r="F60" s="317"/>
      <c r="G60" s="317"/>
      <c r="I60" s="456"/>
      <c r="J60" s="456"/>
      <c r="K60" s="456"/>
    </row>
    <row r="61" spans="1:16" ht="13.2">
      <c r="A61" s="315"/>
      <c r="B61" s="316"/>
      <c r="C61" s="317"/>
      <c r="D61" s="317"/>
      <c r="E61" s="317"/>
      <c r="F61" s="317"/>
      <c r="G61" s="317"/>
      <c r="L61" s="14"/>
      <c r="M61" s="14"/>
      <c r="N61" s="14"/>
      <c r="O61" s="14"/>
      <c r="P61" s="14"/>
    </row>
    <row r="62" spans="1:16" ht="13.2">
      <c r="A62" s="315"/>
      <c r="B62" s="316"/>
      <c r="C62" s="317"/>
      <c r="D62" s="317"/>
      <c r="E62" s="317"/>
      <c r="F62" s="317"/>
      <c r="G62" s="317"/>
      <c r="L62" s="14"/>
      <c r="M62" s="14"/>
      <c r="N62" s="14"/>
      <c r="O62" s="14"/>
      <c r="P62" s="14"/>
    </row>
    <row r="63" spans="1:1" ht="13.2">
      <c r="A63" s="438" t="s">
        <v>224</v>
      </c>
    </row>
    <row r="64" spans="1:11" ht="12.75" customHeight="1">
      <c r="A64" s="513" t="s">
        <v>73</v>
      </c>
      <c r="B64" s="766" t="s">
        <v>521</v>
      </c>
      <c r="C64" s="766"/>
      <c r="D64" s="766"/>
      <c r="E64" s="766"/>
      <c r="F64" s="766"/>
      <c r="G64" s="766"/>
      <c r="H64" s="766"/>
      <c r="I64" s="766"/>
      <c r="J64" s="766"/>
      <c r="K64" s="766"/>
    </row>
    <row r="65" spans="1:12" ht="12.75" customHeight="1">
      <c r="A65" s="513" t="s">
        <v>74</v>
      </c>
      <c r="B65" s="766" t="s">
        <v>619</v>
      </c>
      <c r="C65" s="766"/>
      <c r="D65" s="766"/>
      <c r="E65" s="766"/>
      <c r="F65" s="766"/>
      <c r="G65" s="766"/>
      <c r="H65" s="766"/>
      <c r="I65" s="766"/>
      <c r="J65" s="766"/>
      <c r="K65" s="766"/>
      <c r="L65" s="306"/>
    </row>
    <row r="66" spans="1:11" ht="12.75" customHeight="1">
      <c r="A66" s="458" t="s">
        <v>75</v>
      </c>
      <c r="B66" s="671" t="s">
        <v>838</v>
      </c>
      <c r="C66" s="540"/>
      <c r="D66" s="540"/>
      <c r="E66" s="540"/>
      <c r="F66" s="540"/>
      <c r="G66" s="540"/>
      <c r="H66" s="540"/>
      <c r="I66" s="540"/>
      <c r="J66" s="540"/>
      <c r="K66" s="540"/>
    </row>
    <row r="67" spans="1:11" ht="13.2">
      <c r="A67" s="458"/>
      <c r="B67" s="541" t="s">
        <v>823</v>
      </c>
      <c r="C67" s="510"/>
      <c r="D67" s="510"/>
      <c r="E67" s="510"/>
      <c r="F67" s="510"/>
      <c r="G67" s="510"/>
      <c r="H67" s="510"/>
      <c r="I67" s="510"/>
      <c r="J67" s="510"/>
      <c r="K67" s="510"/>
    </row>
    <row r="68" spans="1:11" s="564" customFormat="1" ht="13.2">
      <c r="A68" s="458"/>
      <c r="B68" s="541" t="s">
        <v>824</v>
      </c>
      <c r="C68" s="657"/>
      <c r="D68" s="657"/>
      <c r="E68" s="657"/>
      <c r="F68" s="657"/>
      <c r="G68" s="657"/>
      <c r="H68" s="657"/>
      <c r="I68" s="657"/>
      <c r="J68" s="657"/>
      <c r="K68" s="657"/>
    </row>
    <row r="69" spans="1:11" ht="12.75" customHeight="1">
      <c r="A69" s="513" t="s">
        <v>76</v>
      </c>
      <c r="B69" s="298" t="s">
        <v>800</v>
      </c>
      <c r="C69" s="298"/>
      <c r="D69" s="298"/>
      <c r="E69" s="298"/>
      <c r="F69" s="298"/>
      <c r="G69" s="298"/>
      <c r="H69" s="298"/>
      <c r="I69" s="298"/>
      <c r="J69" s="298"/>
      <c r="K69" s="298"/>
    </row>
    <row r="70" spans="1:11" ht="24" customHeight="1">
      <c r="A70" s="457" t="s">
        <v>77</v>
      </c>
      <c r="B70" s="763" t="s">
        <v>830</v>
      </c>
      <c r="C70" s="763"/>
      <c r="D70" s="763"/>
      <c r="E70" s="763"/>
      <c r="F70" s="763"/>
      <c r="G70" s="763"/>
      <c r="H70" s="763"/>
      <c r="I70" s="763"/>
      <c r="J70" s="763"/>
      <c r="K70" s="656"/>
    </row>
    <row r="71" spans="1:11" ht="12.75" customHeight="1">
      <c r="A71" s="658" t="s">
        <v>78</v>
      </c>
      <c r="B71" s="767" t="s">
        <v>522</v>
      </c>
      <c r="C71" s="767"/>
      <c r="D71" s="767"/>
      <c r="E71" s="767"/>
      <c r="F71" s="767"/>
      <c r="G71" s="767"/>
      <c r="H71" s="767"/>
      <c r="I71" s="767"/>
      <c r="J71" s="767"/>
      <c r="K71" s="767"/>
    </row>
    <row r="72" spans="1:11" ht="43.5" customHeight="1">
      <c r="A72" s="490" t="s">
        <v>79</v>
      </c>
      <c r="B72" s="763" t="s">
        <v>620</v>
      </c>
      <c r="C72" s="763"/>
      <c r="D72" s="763"/>
      <c r="E72" s="763"/>
      <c r="F72" s="763"/>
      <c r="G72" s="763"/>
      <c r="H72" s="763"/>
      <c r="I72" s="763"/>
      <c r="J72" s="763"/>
      <c r="K72" s="656"/>
    </row>
    <row r="73" spans="1:11" ht="13.2">
      <c r="A73" s="658" t="s">
        <v>81</v>
      </c>
      <c r="B73" s="542" t="s">
        <v>685</v>
      </c>
      <c r="C73" s="564"/>
      <c r="D73" s="564"/>
      <c r="E73" s="564"/>
      <c r="F73" s="564"/>
      <c r="G73" s="564"/>
      <c r="H73" s="564"/>
      <c r="I73" s="564"/>
      <c r="J73" s="564"/>
      <c r="K73" s="564"/>
    </row>
    <row r="74" ht="13.2"/>
    <row r="75" ht="13.2"/>
    <row r="76" spans="2:2" ht="13.2">
      <c r="B76" s="561"/>
    </row>
    <row r="77" spans="2:2" ht="13.2">
      <c r="B77" s="556"/>
    </row>
    <row r="78" spans="2:2" ht="13.2">
      <c r="B78" s="557"/>
    </row>
  </sheetData>
  <mergeCells count="9">
    <mergeCell ref="B72:J72"/>
    <mergeCell ref="C26:I26"/>
    <mergeCell ref="I6:J6"/>
    <mergeCell ref="G6:H6"/>
    <mergeCell ref="C6:D6"/>
    <mergeCell ref="B64:K64"/>
    <mergeCell ref="B65:K65"/>
    <mergeCell ref="B71:K71"/>
    <mergeCell ref="B70:J70"/>
  </mergeCells>
  <pageMargins left="0.25" right="0.25" top="0.75" bottom="0.75" header="0.3" footer="0.3"/>
  <pageSetup fitToHeight="0" orientation="landscape" scale="56" r:id="rId1"/>
  <rowBreaks count="1" manualBreakCount="1">
    <brk id="46" max="9"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P129"/>
  <sheetViews>
    <sheetView zoomScale="70" zoomScaleNormal="70" workbookViewId="0" topLeftCell="A1"/>
  </sheetViews>
  <sheetFormatPr defaultColWidth="8.81555555555556" defaultRowHeight="15.75"/>
  <cols>
    <col min="1" max="1" width="5.22222222222222" style="683" customWidth="1"/>
    <col min="2" max="2" width="10.7777777777778" style="683" customWidth="1"/>
    <col min="3" max="3" width="9.55555555555556" style="683" customWidth="1"/>
    <col min="4" max="4" width="10.1111111111111" style="683" customWidth="1"/>
    <col min="5" max="5" width="12.4444444444444" style="683" customWidth="1"/>
    <col min="6" max="6" width="10.1111111111111" style="683" customWidth="1"/>
    <col min="7" max="7" width="2.11111111111111" style="683" customWidth="1"/>
    <col min="8" max="8" width="15.1111111111111" style="683" customWidth="1"/>
    <col min="9" max="9" width="14.2222222222222" style="683" customWidth="1"/>
    <col min="10" max="10" width="16.4444444444444" style="683" customWidth="1"/>
    <col min="11" max="11" width="13.4444444444444" style="683" customWidth="1"/>
    <col min="12" max="16" width="8.77777777777778" style="683"/>
    <col min="17" max="16384" width="8.77777777777778" style="683"/>
  </cols>
  <sheetData>
    <row r="1" spans="2:11" s="682" customFormat="1" ht="15.6">
      <c r="B1" s="774" t="str">
        <f>'Attachment H'!$D$5</f>
        <v>NextEra Energy Transmission MidAtlantic Indiana, Inc.</v>
      </c>
      <c r="C1" s="774"/>
      <c r="D1" s="774"/>
      <c r="E1" s="774"/>
      <c r="F1" s="774"/>
      <c r="G1" s="774"/>
      <c r="H1" s="774"/>
      <c r="I1" s="774"/>
      <c r="J1" s="774"/>
      <c r="K1" s="774"/>
    </row>
    <row r="2" spans="2:11" s="682" customFormat="1" ht="15.6">
      <c r="B2" s="775" t="s">
        <v>808</v>
      </c>
      <c r="C2" s="775"/>
      <c r="D2" s="775"/>
      <c r="E2" s="775"/>
      <c r="F2" s="775"/>
      <c r="G2" s="775"/>
      <c r="H2" s="775"/>
      <c r="I2" s="775"/>
      <c r="J2" s="775"/>
      <c r="K2" s="775"/>
    </row>
    <row r="3" spans="2:11" s="682" customFormat="1" ht="15.6">
      <c r="B3" s="776" t="s">
        <v>848</v>
      </c>
      <c r="C3" s="776"/>
      <c r="D3" s="776"/>
      <c r="E3" s="776"/>
      <c r="F3" s="776"/>
      <c r="G3" s="776"/>
      <c r="H3" s="776"/>
      <c r="I3" s="776"/>
      <c r="J3" s="776"/>
      <c r="K3" s="776"/>
    </row>
    <row r="4" spans="10:11" ht="15.6">
      <c r="J4" s="684" t="s">
        <v>688</v>
      </c>
      <c r="K4" s="685" t="s">
        <v>847</v>
      </c>
    </row>
    <row r="5" spans="1:11" ht="15.6">
      <c r="A5" s="683">
        <v>1</v>
      </c>
      <c r="B5" s="686" t="s">
        <v>689</v>
      </c>
      <c r="H5" s="687"/>
      <c r="I5" s="687"/>
      <c r="J5" s="687"/>
      <c r="K5" s="687"/>
    </row>
    <row r="6" spans="1:11" ht="15.6">
      <c r="A6" s="683">
        <f>+A5+1</f>
        <v>2</v>
      </c>
      <c r="B6" s="768" t="s">
        <v>690</v>
      </c>
      <c r="C6" s="769"/>
      <c r="D6" s="769"/>
      <c r="E6" s="769"/>
      <c r="F6" s="770"/>
      <c r="G6" s="688"/>
      <c r="H6" s="771" t="s">
        <v>691</v>
      </c>
      <c r="I6" s="772"/>
      <c r="J6" s="773"/>
      <c r="K6" s="687"/>
    </row>
    <row r="7" spans="2:11" ht="15.6">
      <c r="B7" s="689" t="s">
        <v>73</v>
      </c>
      <c r="C7" s="689" t="s">
        <v>74</v>
      </c>
      <c r="D7" s="689" t="s">
        <v>75</v>
      </c>
      <c r="E7" s="689" t="s">
        <v>76</v>
      </c>
      <c r="F7" s="689" t="s">
        <v>77</v>
      </c>
      <c r="G7" s="688"/>
      <c r="H7" s="689" t="s">
        <v>78</v>
      </c>
      <c r="I7" s="689" t="s">
        <v>79</v>
      </c>
      <c r="J7" s="689" t="s">
        <v>81</v>
      </c>
      <c r="K7" s="690"/>
    </row>
    <row r="8" spans="1:11" ht="62.4">
      <c r="A8" s="683">
        <f>+A6+1</f>
        <v>3</v>
      </c>
      <c r="B8" s="691" t="s">
        <v>201</v>
      </c>
      <c r="C8" s="691" t="s">
        <v>692</v>
      </c>
      <c r="D8" s="691" t="s">
        <v>693</v>
      </c>
      <c r="E8" s="691" t="s">
        <v>694</v>
      </c>
      <c r="F8" s="691" t="s">
        <v>695</v>
      </c>
      <c r="G8" s="692"/>
      <c r="H8" s="691" t="s">
        <v>696</v>
      </c>
      <c r="I8" s="691" t="s">
        <v>697</v>
      </c>
      <c r="J8" s="691" t="s">
        <v>698</v>
      </c>
      <c r="K8" s="692"/>
    </row>
    <row r="9" spans="1:11" ht="15.6">
      <c r="A9" s="683">
        <f t="shared" si="0" ref="A9:A23">+A8+1</f>
        <v>4</v>
      </c>
      <c r="C9" s="692"/>
      <c r="D9" s="692"/>
      <c r="E9" s="692"/>
      <c r="F9" s="692"/>
      <c r="G9" s="692"/>
      <c r="H9" s="692"/>
      <c r="I9" s="692"/>
      <c r="J9" s="692"/>
      <c r="K9" s="692"/>
    </row>
    <row r="10" spans="1:11" ht="15.6">
      <c r="A10" s="683">
        <f>+A9+1</f>
        <v>5</v>
      </c>
      <c r="B10" s="693" t="s">
        <v>699</v>
      </c>
      <c r="C10" s="694"/>
      <c r="D10" s="695"/>
      <c r="E10" s="695"/>
      <c r="F10" s="695"/>
      <c r="G10" s="695"/>
      <c r="H10" s="696"/>
      <c r="I10" s="696"/>
      <c r="J10" s="697">
        <v>0</v>
      </c>
      <c r="K10" s="698"/>
    </row>
    <row r="11" spans="1:11" ht="15.6">
      <c r="A11" s="683">
        <f>+A10+1</f>
        <v>6</v>
      </c>
      <c r="B11" s="694" t="s">
        <v>101</v>
      </c>
      <c r="C11" s="696">
        <v>31</v>
      </c>
      <c r="D11" s="699">
        <f>C11</f>
        <v>31</v>
      </c>
      <c r="E11" s="700">
        <f>D23-D11+1</f>
        <v>335</v>
      </c>
      <c r="F11" s="701">
        <f>IF(E11=0,0,E11/$D$23)</f>
        <v>0.9178082191780822</v>
      </c>
      <c r="G11" s="695"/>
      <c r="H11" s="697"/>
      <c r="I11" s="696"/>
      <c r="J11" s="696">
        <f>+J10+I11</f>
        <v>0</v>
      </c>
      <c r="K11" s="698"/>
    </row>
    <row r="12" spans="1:11" ht="15.6">
      <c r="A12" s="683">
        <f>+A11+1</f>
        <v>7</v>
      </c>
      <c r="B12" s="694" t="s">
        <v>100</v>
      </c>
      <c r="C12" s="697">
        <v>28</v>
      </c>
      <c r="D12" s="699">
        <f t="shared" si="1" ref="D12:D22">C12</f>
        <v>28</v>
      </c>
      <c r="E12" s="700">
        <f>$D$23-SUM($D$11:D12)+1</f>
        <v>307</v>
      </c>
      <c r="F12" s="701">
        <f t="shared" si="2" ref="F12:F22">IF(E12=0,0,E12/$D$23)</f>
        <v>0.84109589041095889</v>
      </c>
      <c r="G12" s="695"/>
      <c r="H12" s="697"/>
      <c r="I12" s="696"/>
      <c r="J12" s="696">
        <f t="shared" si="3" ref="J12:J22">+J11+I12</f>
        <v>0</v>
      </c>
      <c r="K12" s="698"/>
    </row>
    <row r="13" spans="1:11" ht="15.6">
      <c r="A13" s="683">
        <f>+A12+1</f>
        <v>8</v>
      </c>
      <c r="B13" s="694" t="s">
        <v>99</v>
      </c>
      <c r="C13" s="696">
        <v>31</v>
      </c>
      <c r="D13" s="699">
        <f>C13</f>
        <v>31</v>
      </c>
      <c r="E13" s="700">
        <f>$D$23-SUM($D$11:D13)+1</f>
        <v>276</v>
      </c>
      <c r="F13" s="701">
        <f>IF(E13=0,0,E13/$D$23)</f>
        <v>0.75616438356164384</v>
      </c>
      <c r="G13" s="695"/>
      <c r="H13" s="697"/>
      <c r="I13" s="696"/>
      <c r="J13" s="696">
        <f>+J12+I13</f>
        <v>0</v>
      </c>
      <c r="K13" s="698"/>
    </row>
    <row r="14" spans="1:11" ht="15.6">
      <c r="A14" s="683">
        <f>+A13+1</f>
        <v>9</v>
      </c>
      <c r="B14" s="694" t="s">
        <v>91</v>
      </c>
      <c r="C14" s="696">
        <v>30</v>
      </c>
      <c r="D14" s="699">
        <f>C14</f>
        <v>30</v>
      </c>
      <c r="E14" s="700">
        <f>$D$23-SUM($D$11:D14)+1</f>
        <v>246</v>
      </c>
      <c r="F14" s="701">
        <f>IF(E14=0,0,E14/$D$23)</f>
        <v>0.67397260273972603</v>
      </c>
      <c r="G14" s="695"/>
      <c r="H14" s="697"/>
      <c r="I14" s="696"/>
      <c r="J14" s="696">
        <f>+J13+I14</f>
        <v>0</v>
      </c>
      <c r="K14" s="698"/>
    </row>
    <row r="15" spans="1:11" ht="15.6">
      <c r="A15" s="683">
        <f>+A14+1</f>
        <v>10</v>
      </c>
      <c r="B15" s="694" t="s">
        <v>90</v>
      </c>
      <c r="C15" s="696">
        <v>31</v>
      </c>
      <c r="D15" s="699">
        <f>C15</f>
        <v>31</v>
      </c>
      <c r="E15" s="700">
        <f>$D$23-SUM($D$11:D15)+1</f>
        <v>215</v>
      </c>
      <c r="F15" s="701">
        <f>IF(E15=0,0,E15/$D$23)</f>
        <v>0.58904109589041098</v>
      </c>
      <c r="G15" s="695"/>
      <c r="H15" s="697"/>
      <c r="I15" s="696"/>
      <c r="J15" s="696">
        <f>+J14+I15</f>
        <v>0</v>
      </c>
      <c r="K15" s="698"/>
    </row>
    <row r="16" spans="1:11" ht="15.6">
      <c r="A16" s="683">
        <f>+A15+1</f>
        <v>11</v>
      </c>
      <c r="B16" s="694" t="s">
        <v>111</v>
      </c>
      <c r="C16" s="696">
        <v>30</v>
      </c>
      <c r="D16" s="699">
        <f>C16</f>
        <v>30</v>
      </c>
      <c r="E16" s="700">
        <f>$D$23-SUM($D$11:D16)+1</f>
        <v>185</v>
      </c>
      <c r="F16" s="701">
        <f>IF(E16=0,0,E16/$D$23)</f>
        <v>0.50684931506849318</v>
      </c>
      <c r="G16" s="695"/>
      <c r="H16" s="697"/>
      <c r="I16" s="696"/>
      <c r="J16" s="696">
        <f>+J15+I16</f>
        <v>0</v>
      </c>
      <c r="K16" s="698"/>
    </row>
    <row r="17" spans="1:11" ht="15.6">
      <c r="A17" s="683">
        <f>+A16+1</f>
        <v>12</v>
      </c>
      <c r="B17" s="694" t="s">
        <v>98</v>
      </c>
      <c r="C17" s="696">
        <v>31</v>
      </c>
      <c r="D17" s="699">
        <f>C17</f>
        <v>31</v>
      </c>
      <c r="E17" s="700">
        <f>$D$23-SUM($D$11:D17)+1</f>
        <v>154</v>
      </c>
      <c r="F17" s="701">
        <f>IF(E17=0,0,E17/$D$23)</f>
        <v>0.42191780821917807</v>
      </c>
      <c r="G17" s="695"/>
      <c r="H17" s="697"/>
      <c r="I17" s="696"/>
      <c r="J17" s="696">
        <f>+J16+I17</f>
        <v>0</v>
      </c>
      <c r="K17" s="698"/>
    </row>
    <row r="18" spans="1:11" ht="15.6">
      <c r="A18" s="683">
        <f>+A17+1</f>
        <v>13</v>
      </c>
      <c r="B18" s="694" t="s">
        <v>97</v>
      </c>
      <c r="C18" s="696">
        <v>31</v>
      </c>
      <c r="D18" s="699">
        <f>C18</f>
        <v>31</v>
      </c>
      <c r="E18" s="700">
        <f>$D$23-SUM($D$11:D18)+1</f>
        <v>123</v>
      </c>
      <c r="F18" s="701">
        <f>IF(E18=0,0,E18/$D$23)</f>
        <v>0.33698630136986302</v>
      </c>
      <c r="G18" s="695"/>
      <c r="H18" s="697"/>
      <c r="I18" s="696"/>
      <c r="J18" s="696">
        <f>+J17+I18</f>
        <v>0</v>
      </c>
      <c r="K18" s="698"/>
    </row>
    <row r="19" spans="1:11" ht="15.6">
      <c r="A19" s="683">
        <f>+A18+1</f>
        <v>14</v>
      </c>
      <c r="B19" s="694" t="s">
        <v>96</v>
      </c>
      <c r="C19" s="696">
        <v>30</v>
      </c>
      <c r="D19" s="699">
        <f>C19</f>
        <v>30</v>
      </c>
      <c r="E19" s="700">
        <f>$D$23-SUM($D$11:D19)+1</f>
        <v>93</v>
      </c>
      <c r="F19" s="701">
        <f>IF(E19=0,0,E19/$D$23)</f>
        <v>0.25479452054794521</v>
      </c>
      <c r="G19" s="695"/>
      <c r="H19" s="697"/>
      <c r="I19" s="696"/>
      <c r="J19" s="696">
        <f>+J18+I19</f>
        <v>0</v>
      </c>
      <c r="K19" s="698"/>
    </row>
    <row r="20" spans="1:11" ht="15.6">
      <c r="A20" s="683">
        <f>+A19+1</f>
        <v>15</v>
      </c>
      <c r="B20" s="694" t="s">
        <v>102</v>
      </c>
      <c r="C20" s="696">
        <v>31</v>
      </c>
      <c r="D20" s="699">
        <f>C20</f>
        <v>31</v>
      </c>
      <c r="E20" s="700">
        <f>$D$23-SUM($D$11:D20)+1</f>
        <v>62</v>
      </c>
      <c r="F20" s="701">
        <f>IF(E20=0,0,E20/$D$23)</f>
        <v>0.16986301369863013</v>
      </c>
      <c r="G20" s="695"/>
      <c r="H20" s="697"/>
      <c r="I20" s="696"/>
      <c r="J20" s="696">
        <f>+J19+I20</f>
        <v>0</v>
      </c>
      <c r="K20" s="698"/>
    </row>
    <row r="21" spans="1:11" ht="15.6">
      <c r="A21" s="683">
        <f>+A20+1</f>
        <v>16</v>
      </c>
      <c r="B21" s="694" t="s">
        <v>95</v>
      </c>
      <c r="C21" s="696">
        <v>30</v>
      </c>
      <c r="D21" s="699">
        <f>C21</f>
        <v>30</v>
      </c>
      <c r="E21" s="700">
        <f>$D$23-SUM($D$11:D21)+1</f>
        <v>32</v>
      </c>
      <c r="F21" s="701">
        <f>IF(E21=0,0,E21/$D$23)</f>
        <v>0.087671232876712329</v>
      </c>
      <c r="G21" s="695"/>
      <c r="H21" s="697"/>
      <c r="I21" s="696"/>
      <c r="J21" s="696">
        <f>+J20+I21</f>
        <v>0</v>
      </c>
      <c r="K21" s="698"/>
    </row>
    <row r="22" spans="1:11" ht="15.6">
      <c r="A22" s="683">
        <f>+A21+1</f>
        <v>17</v>
      </c>
      <c r="B22" s="694" t="s">
        <v>94</v>
      </c>
      <c r="C22" s="696">
        <v>31</v>
      </c>
      <c r="D22" s="699">
        <f>C22</f>
        <v>31</v>
      </c>
      <c r="E22" s="700">
        <f>$D$23-SUM($D$11:D22)+1</f>
        <v>1</v>
      </c>
      <c r="F22" s="701">
        <f>IF(E22=0,0,E22/$D$23)</f>
        <v>0.0027397260273972603</v>
      </c>
      <c r="G22" s="695"/>
      <c r="H22" s="697"/>
      <c r="I22" s="696"/>
      <c r="J22" s="696">
        <f>+J21+I22</f>
        <v>0</v>
      </c>
      <c r="K22" s="698"/>
    </row>
    <row r="23" spans="1:11" ht="15.6">
      <c r="A23" s="683">
        <f>+A22+1</f>
        <v>18</v>
      </c>
      <c r="B23" s="702"/>
      <c r="C23" s="702" t="s">
        <v>19</v>
      </c>
      <c r="D23" s="703">
        <f>SUM(D11:D22)</f>
        <v>365</v>
      </c>
      <c r="E23" s="702"/>
      <c r="F23" s="704"/>
      <c r="G23" s="695"/>
      <c r="H23" s="705">
        <f>SUM(H11:H22)</f>
        <v>0</v>
      </c>
      <c r="I23" s="705">
        <f>SUM(I11:I22)</f>
        <v>0</v>
      </c>
      <c r="J23" s="704"/>
      <c r="K23" s="706"/>
    </row>
    <row r="24" spans="2:11" ht="15.6">
      <c r="B24" s="707"/>
      <c r="C24" s="707"/>
      <c r="D24" s="707"/>
      <c r="E24" s="707"/>
      <c r="F24" s="706"/>
      <c r="G24" s="706"/>
      <c r="H24" s="708"/>
      <c r="I24" s="709"/>
      <c r="J24" s="706"/>
      <c r="K24" s="706"/>
    </row>
    <row r="25" spans="1:10" ht="15.6">
      <c r="A25" s="683">
        <f>+A23+1</f>
        <v>19</v>
      </c>
      <c r="B25" s="683" t="s">
        <v>700</v>
      </c>
      <c r="F25" s="710" t="s">
        <v>701</v>
      </c>
      <c r="G25" s="706"/>
      <c r="I25" s="706"/>
      <c r="J25" s="697">
        <v>0</v>
      </c>
    </row>
    <row r="26" spans="1:10" ht="15.6">
      <c r="A26" s="683">
        <f>+A25+1</f>
        <v>20</v>
      </c>
      <c r="B26" s="683" t="s">
        <v>702</v>
      </c>
      <c r="F26" s="683" t="str">
        <f>"(Line "&amp;A25&amp;" less line "&amp;A27&amp;")"</f>
        <v>(Line 19 less line 21)</v>
      </c>
      <c r="G26" s="706"/>
      <c r="I26" s="706"/>
      <c r="J26" s="711">
        <f>+J25-J27</f>
        <v>0</v>
      </c>
    </row>
    <row r="27" spans="1:10" ht="15.6">
      <c r="A27" s="683">
        <f t="shared" si="4" ref="A27:A33">+A26+1</f>
        <v>21</v>
      </c>
      <c r="B27" s="683" t="s">
        <v>703</v>
      </c>
      <c r="F27" s="683" t="str">
        <f>"(Line "&amp;A10&amp;", Col H)"</f>
        <v>(Line 5, Col H)</v>
      </c>
      <c r="G27" s="706"/>
      <c r="I27" s="706"/>
      <c r="J27" s="696">
        <f>+J10</f>
        <v>0</v>
      </c>
    </row>
    <row r="28" spans="1:10" ht="15.6">
      <c r="A28" s="683">
        <f>+A27+1</f>
        <v>22</v>
      </c>
      <c r="B28" s="683" t="s">
        <v>704</v>
      </c>
      <c r="F28" s="710" t="s">
        <v>705</v>
      </c>
      <c r="G28" s="706"/>
      <c r="I28" s="706"/>
      <c r="J28" s="697">
        <v>0</v>
      </c>
    </row>
    <row r="29" spans="1:10" ht="15.6">
      <c r="A29" s="683">
        <f>+A28+1</f>
        <v>23</v>
      </c>
      <c r="B29" s="683" t="str">
        <f>+B26</f>
        <v>Less non Prorated Items</v>
      </c>
      <c r="F29" s="683" t="str">
        <f>"(Line "&amp;A28&amp;" less line "&amp;A30&amp;")"</f>
        <v>(Line 22 less line 24)</v>
      </c>
      <c r="G29" s="706"/>
      <c r="I29" s="706"/>
      <c r="J29" s="711">
        <f>+J28-J30</f>
        <v>0</v>
      </c>
    </row>
    <row r="30" spans="1:10" ht="15.6">
      <c r="A30" s="683">
        <f>+A29+1</f>
        <v>24</v>
      </c>
      <c r="B30" s="683" t="s">
        <v>706</v>
      </c>
      <c r="F30" s="683" t="str">
        <f>"(Line "&amp;A22&amp;", Col H)"</f>
        <v>(Line 17, Col H)</v>
      </c>
      <c r="G30" s="706"/>
      <c r="I30" s="706"/>
      <c r="J30" s="734">
        <f>+J22</f>
        <v>0</v>
      </c>
    </row>
    <row r="31" spans="1:10" ht="15.6">
      <c r="A31" s="710">
        <f>+A30+1</f>
        <v>25</v>
      </c>
      <c r="B31" s="710" t="s">
        <v>707</v>
      </c>
      <c r="C31" s="710"/>
      <c r="D31" s="710"/>
      <c r="E31" s="710"/>
      <c r="F31" s="710" t="s">
        <v>849</v>
      </c>
      <c r="G31" s="738"/>
      <c r="H31" s="710"/>
      <c r="I31" s="739"/>
      <c r="J31" s="740">
        <f>J22+(J26+J29)/2</f>
        <v>0</v>
      </c>
    </row>
    <row r="32" spans="1:10" ht="15.6">
      <c r="A32" s="683">
        <f>+A31+1</f>
        <v>26</v>
      </c>
      <c r="B32" s="683" t="s">
        <v>708</v>
      </c>
      <c r="F32" s="683" t="s">
        <v>805</v>
      </c>
      <c r="G32" s="706"/>
      <c r="I32" s="692"/>
      <c r="J32" s="697">
        <v>0</v>
      </c>
    </row>
    <row r="33" spans="1:10" ht="15.6">
      <c r="A33" s="683">
        <f>+A32+1</f>
        <v>27</v>
      </c>
      <c r="B33" s="683" t="s">
        <v>799</v>
      </c>
      <c r="F33" s="683" t="str">
        <f>"(Line "&amp;A31&amp;" less line "&amp;A32&amp;")"</f>
        <v>(Line 25 less line 26)</v>
      </c>
      <c r="J33" s="712">
        <f>+J31-J32</f>
        <v>0</v>
      </c>
    </row>
    <row r="34" ht="15.6"/>
    <row r="35" spans="1:10" ht="15.6">
      <c r="A35" s="713"/>
      <c r="B35" s="714"/>
      <c r="C35" s="713"/>
      <c r="D35" s="713"/>
      <c r="E35" s="713"/>
      <c r="F35" s="713"/>
      <c r="G35" s="713"/>
      <c r="H35" s="713"/>
      <c r="I35" s="713"/>
      <c r="J35" s="713"/>
    </row>
    <row r="36" spans="1:10" ht="15.6">
      <c r="A36" s="683">
        <f>+A33+1</f>
        <v>28</v>
      </c>
      <c r="B36" s="686" t="s">
        <v>715</v>
      </c>
      <c r="H36" s="687"/>
      <c r="I36" s="687"/>
      <c r="J36" s="687"/>
    </row>
    <row r="37" spans="1:10" ht="15.6">
      <c r="A37" s="683">
        <f>+A36+1</f>
        <v>29</v>
      </c>
      <c r="B37" s="768" t="s">
        <v>690</v>
      </c>
      <c r="C37" s="769"/>
      <c r="D37" s="769"/>
      <c r="E37" s="769"/>
      <c r="F37" s="770"/>
      <c r="G37" s="688"/>
      <c r="H37" s="771" t="s">
        <v>691</v>
      </c>
      <c r="I37" s="772"/>
      <c r="J37" s="773"/>
    </row>
    <row r="38" spans="2:10" ht="15.6">
      <c r="B38" s="689" t="s">
        <v>73</v>
      </c>
      <c r="C38" s="689" t="s">
        <v>74</v>
      </c>
      <c r="D38" s="689" t="s">
        <v>75</v>
      </c>
      <c r="E38" s="689" t="s">
        <v>76</v>
      </c>
      <c r="F38" s="689" t="s">
        <v>77</v>
      </c>
      <c r="G38" s="688"/>
      <c r="H38" s="689" t="s">
        <v>78</v>
      </c>
      <c r="I38" s="689" t="s">
        <v>79</v>
      </c>
      <c r="J38" s="689" t="s">
        <v>81</v>
      </c>
    </row>
    <row r="39" spans="1:10" ht="62.4">
      <c r="A39" s="683">
        <f>+A37+1</f>
        <v>30</v>
      </c>
      <c r="B39" s="691" t="s">
        <v>201</v>
      </c>
      <c r="C39" s="691" t="s">
        <v>692</v>
      </c>
      <c r="D39" s="691" t="s">
        <v>693</v>
      </c>
      <c r="E39" s="691" t="s">
        <v>694</v>
      </c>
      <c r="F39" s="691" t="s">
        <v>695</v>
      </c>
      <c r="G39" s="692"/>
      <c r="H39" s="691" t="s">
        <v>696</v>
      </c>
      <c r="I39" s="691" t="s">
        <v>697</v>
      </c>
      <c r="J39" s="691" t="s">
        <v>698</v>
      </c>
    </row>
    <row r="40" spans="1:10" ht="15.6">
      <c r="A40" s="683">
        <f t="shared" si="5" ref="A40:A54">+A39+1</f>
        <v>31</v>
      </c>
      <c r="C40" s="692"/>
      <c r="D40" s="692"/>
      <c r="E40" s="692"/>
      <c r="F40" s="692"/>
      <c r="G40" s="692"/>
      <c r="H40" s="692"/>
      <c r="I40" s="692"/>
      <c r="J40" s="692"/>
    </row>
    <row r="41" spans="1:10" ht="15.6">
      <c r="A41" s="683">
        <f>+A40+1</f>
        <v>32</v>
      </c>
      <c r="B41" s="693" t="s">
        <v>699</v>
      </c>
      <c r="C41" s="694"/>
      <c r="D41" s="695"/>
      <c r="E41" s="695"/>
      <c r="F41" s="695"/>
      <c r="G41" s="695"/>
      <c r="H41" s="696"/>
      <c r="I41" s="696"/>
      <c r="J41" s="697">
        <v>0</v>
      </c>
    </row>
    <row r="42" spans="1:10" ht="15.6">
      <c r="A42" s="683">
        <f>+A41+1</f>
        <v>33</v>
      </c>
      <c r="B42" s="694" t="s">
        <v>101</v>
      </c>
      <c r="C42" s="696">
        <v>31</v>
      </c>
      <c r="D42" s="699">
        <f>C42</f>
        <v>31</v>
      </c>
      <c r="E42" s="700">
        <f>D54-D42+1</f>
        <v>335</v>
      </c>
      <c r="F42" s="701">
        <f>IF(E42=0,0,E42/$D$54)</f>
        <v>0.9178082191780822</v>
      </c>
      <c r="G42" s="695"/>
      <c r="H42" s="697">
        <v>0</v>
      </c>
      <c r="I42" s="696">
        <f>+H42*F42</f>
        <v>0</v>
      </c>
      <c r="J42" s="696">
        <f t="shared" si="6" ref="J42:J53">+I42+J41</f>
        <v>0</v>
      </c>
    </row>
    <row r="43" spans="1:10" ht="15.6">
      <c r="A43" s="683">
        <f>+A42+1</f>
        <v>34</v>
      </c>
      <c r="B43" s="694" t="s">
        <v>100</v>
      </c>
      <c r="C43" s="697">
        <f>C12</f>
        <v>28</v>
      </c>
      <c r="D43" s="699">
        <f t="shared" si="7" ref="D43:D53">C43</f>
        <v>28</v>
      </c>
      <c r="E43" s="700">
        <f>$D$23-SUM($D$42:D43)+1</f>
        <v>307</v>
      </c>
      <c r="F43" s="701">
        <f t="shared" si="8" ref="F43:F53">IF(E43=0,0,E43/$D$54)</f>
        <v>0.84109589041095889</v>
      </c>
      <c r="G43" s="695"/>
      <c r="H43" s="697">
        <f t="shared" si="9" ref="H43:H53">+H42</f>
        <v>0</v>
      </c>
      <c r="I43" s="696">
        <f t="shared" si="10" ref="I43:I53">+H43*F43</f>
        <v>0</v>
      </c>
      <c r="J43" s="696">
        <f>+I43+J42</f>
        <v>0</v>
      </c>
    </row>
    <row r="44" spans="1:10" ht="15.6">
      <c r="A44" s="683">
        <f>+A43+1</f>
        <v>35</v>
      </c>
      <c r="B44" s="694" t="s">
        <v>99</v>
      </c>
      <c r="C44" s="696">
        <v>31</v>
      </c>
      <c r="D44" s="699">
        <f>C44</f>
        <v>31</v>
      </c>
      <c r="E44" s="700">
        <f>$D$23-SUM($D$42:D44)+1</f>
        <v>276</v>
      </c>
      <c r="F44" s="701">
        <f>IF(E44=0,0,E44/$D$54)</f>
        <v>0.75616438356164384</v>
      </c>
      <c r="G44" s="695"/>
      <c r="H44" s="697">
        <f>+H43</f>
        <v>0</v>
      </c>
      <c r="I44" s="696">
        <f>+H44*F44</f>
        <v>0</v>
      </c>
      <c r="J44" s="696">
        <f>+I44+J43</f>
        <v>0</v>
      </c>
    </row>
    <row r="45" spans="1:10" ht="15.6">
      <c r="A45" s="683">
        <f>+A44+1</f>
        <v>36</v>
      </c>
      <c r="B45" s="694" t="s">
        <v>91</v>
      </c>
      <c r="C45" s="696">
        <v>30</v>
      </c>
      <c r="D45" s="699">
        <f>C45</f>
        <v>30</v>
      </c>
      <c r="E45" s="700">
        <f>$D$23-SUM($D$42:D45)+1</f>
        <v>246</v>
      </c>
      <c r="F45" s="701">
        <f>IF(E45=0,0,E45/$D$54)</f>
        <v>0.67397260273972603</v>
      </c>
      <c r="G45" s="695"/>
      <c r="H45" s="697">
        <f>+H44</f>
        <v>0</v>
      </c>
      <c r="I45" s="696">
        <f>+H45*F45</f>
        <v>0</v>
      </c>
      <c r="J45" s="696">
        <f>+I45+J44</f>
        <v>0</v>
      </c>
    </row>
    <row r="46" spans="1:10" ht="15.6">
      <c r="A46" s="683">
        <f>+A45+1</f>
        <v>37</v>
      </c>
      <c r="B46" s="694" t="s">
        <v>90</v>
      </c>
      <c r="C46" s="696">
        <v>31</v>
      </c>
      <c r="D46" s="699">
        <f>C46</f>
        <v>31</v>
      </c>
      <c r="E46" s="700">
        <f>$D$23-SUM($D$42:D46)+1</f>
        <v>215</v>
      </c>
      <c r="F46" s="701">
        <f>IF(E46=0,0,E46/$D$54)</f>
        <v>0.58904109589041098</v>
      </c>
      <c r="G46" s="695"/>
      <c r="H46" s="697">
        <f>+H45</f>
        <v>0</v>
      </c>
      <c r="I46" s="696">
        <f>+H46*F46</f>
        <v>0</v>
      </c>
      <c r="J46" s="696">
        <f>+I46+J45</f>
        <v>0</v>
      </c>
    </row>
    <row r="47" spans="1:10" ht="15.6">
      <c r="A47" s="683">
        <f>+A46+1</f>
        <v>38</v>
      </c>
      <c r="B47" s="694" t="s">
        <v>111</v>
      </c>
      <c r="C47" s="696">
        <v>30</v>
      </c>
      <c r="D47" s="699">
        <f>C47</f>
        <v>30</v>
      </c>
      <c r="E47" s="700">
        <f>$D$23-SUM($D$42:D47)+1</f>
        <v>185</v>
      </c>
      <c r="F47" s="701">
        <f>IF(E47=0,0,E47/$D$54)</f>
        <v>0.50684931506849318</v>
      </c>
      <c r="G47" s="695"/>
      <c r="H47" s="697">
        <f>+H46</f>
        <v>0</v>
      </c>
      <c r="I47" s="696">
        <f>+H47*F47</f>
        <v>0</v>
      </c>
      <c r="J47" s="696">
        <f>+I47+J46</f>
        <v>0</v>
      </c>
    </row>
    <row r="48" spans="1:10" ht="15.6">
      <c r="A48" s="683">
        <f>+A47+1</f>
        <v>39</v>
      </c>
      <c r="B48" s="694" t="s">
        <v>98</v>
      </c>
      <c r="C48" s="696">
        <v>31</v>
      </c>
      <c r="D48" s="699">
        <f>C48</f>
        <v>31</v>
      </c>
      <c r="E48" s="700">
        <f>$D$23-SUM($D$42:D48)+1</f>
        <v>154</v>
      </c>
      <c r="F48" s="701">
        <f>IF(E48=0,0,E48/$D$54)</f>
        <v>0.42191780821917807</v>
      </c>
      <c r="G48" s="695"/>
      <c r="H48" s="697">
        <f>+H47</f>
        <v>0</v>
      </c>
      <c r="I48" s="696">
        <f>+H48*F48</f>
        <v>0</v>
      </c>
      <c r="J48" s="696">
        <f>+I48+J47</f>
        <v>0</v>
      </c>
    </row>
    <row r="49" spans="1:10" ht="15.6">
      <c r="A49" s="683">
        <f>+A48+1</f>
        <v>40</v>
      </c>
      <c r="B49" s="694" t="s">
        <v>97</v>
      </c>
      <c r="C49" s="696">
        <v>31</v>
      </c>
      <c r="D49" s="699">
        <f>C49</f>
        <v>31</v>
      </c>
      <c r="E49" s="700">
        <f>$D$23-SUM($D$42:D49)+1</f>
        <v>123</v>
      </c>
      <c r="F49" s="701">
        <f>IF(E49=0,0,E49/$D$54)</f>
        <v>0.33698630136986302</v>
      </c>
      <c r="G49" s="695"/>
      <c r="H49" s="697">
        <f>+H48</f>
        <v>0</v>
      </c>
      <c r="I49" s="696">
        <f>+H49*F49</f>
        <v>0</v>
      </c>
      <c r="J49" s="696">
        <f>+I49+J48</f>
        <v>0</v>
      </c>
    </row>
    <row r="50" spans="1:10" ht="15.6">
      <c r="A50" s="683">
        <f>+A49+1</f>
        <v>41</v>
      </c>
      <c r="B50" s="694" t="s">
        <v>96</v>
      </c>
      <c r="C50" s="696">
        <v>30</v>
      </c>
      <c r="D50" s="699">
        <f>C50</f>
        <v>30</v>
      </c>
      <c r="E50" s="700">
        <f>$D$23-SUM($D$42:D50)+1</f>
        <v>93</v>
      </c>
      <c r="F50" s="701">
        <f>IF(E50=0,0,E50/$D$54)</f>
        <v>0.25479452054794521</v>
      </c>
      <c r="G50" s="695"/>
      <c r="H50" s="697">
        <f>+H49</f>
        <v>0</v>
      </c>
      <c r="I50" s="696">
        <f>+H50*F50</f>
        <v>0</v>
      </c>
      <c r="J50" s="696">
        <f>+I50+J49</f>
        <v>0</v>
      </c>
    </row>
    <row r="51" spans="1:10" ht="15.6">
      <c r="A51" s="683">
        <f>+A50+1</f>
        <v>42</v>
      </c>
      <c r="B51" s="694" t="s">
        <v>102</v>
      </c>
      <c r="C51" s="696">
        <v>31</v>
      </c>
      <c r="D51" s="699">
        <f>C51</f>
        <v>31</v>
      </c>
      <c r="E51" s="700">
        <f>$D$23-SUM($D$42:D51)+1</f>
        <v>62</v>
      </c>
      <c r="F51" s="701">
        <f>IF(E51=0,0,E51/$D$54)</f>
        <v>0.16986301369863013</v>
      </c>
      <c r="G51" s="695"/>
      <c r="H51" s="697">
        <f>+H50</f>
        <v>0</v>
      </c>
      <c r="I51" s="696">
        <f>+H51*F51</f>
        <v>0</v>
      </c>
      <c r="J51" s="696">
        <f>+I51+J50</f>
        <v>0</v>
      </c>
    </row>
    <row r="52" spans="1:10" ht="15.6">
      <c r="A52" s="683">
        <f>+A51+1</f>
        <v>43</v>
      </c>
      <c r="B52" s="694" t="s">
        <v>95</v>
      </c>
      <c r="C52" s="696">
        <v>30</v>
      </c>
      <c r="D52" s="699">
        <f>C52</f>
        <v>30</v>
      </c>
      <c r="E52" s="700">
        <f>$D$23-SUM($D$42:D52)+1</f>
        <v>32</v>
      </c>
      <c r="F52" s="701">
        <f>IF(E52=0,0,E52/$D$54)</f>
        <v>0.087671232876712329</v>
      </c>
      <c r="G52" s="695"/>
      <c r="H52" s="697">
        <f>+H51</f>
        <v>0</v>
      </c>
      <c r="I52" s="696">
        <f>+H52*F52</f>
        <v>0</v>
      </c>
      <c r="J52" s="696">
        <f>+I52+J51</f>
        <v>0</v>
      </c>
    </row>
    <row r="53" spans="1:10" ht="15.6">
      <c r="A53" s="683">
        <f>+A52+1</f>
        <v>44</v>
      </c>
      <c r="B53" s="694" t="s">
        <v>94</v>
      </c>
      <c r="C53" s="696">
        <v>31</v>
      </c>
      <c r="D53" s="699">
        <f>C53</f>
        <v>31</v>
      </c>
      <c r="E53" s="700">
        <f>$D$23-SUM($D$42:D53)+1</f>
        <v>1</v>
      </c>
      <c r="F53" s="701">
        <f>IF(E53=0,0,E53/$D$54)</f>
        <v>0.0027397260273972603</v>
      </c>
      <c r="G53" s="695"/>
      <c r="H53" s="697">
        <f>+H52</f>
        <v>0</v>
      </c>
      <c r="I53" s="696">
        <f>+H53*F53</f>
        <v>0</v>
      </c>
      <c r="J53" s="696">
        <f>+I53+J52</f>
        <v>0</v>
      </c>
    </row>
    <row r="54" spans="1:10" ht="15.6">
      <c r="A54" s="683">
        <f>+A53+1</f>
        <v>45</v>
      </c>
      <c r="B54" s="702"/>
      <c r="C54" s="702" t="s">
        <v>19</v>
      </c>
      <c r="D54" s="703">
        <f>SUM(D42:D53)</f>
        <v>365</v>
      </c>
      <c r="E54" s="702"/>
      <c r="F54" s="704"/>
      <c r="G54" s="695"/>
      <c r="H54" s="705">
        <f>SUM(H42:H53)</f>
        <v>0</v>
      </c>
      <c r="I54" s="705">
        <f>SUM(I42:I53)</f>
        <v>0</v>
      </c>
      <c r="J54" s="704"/>
    </row>
    <row r="55" spans="2:10" ht="15.6">
      <c r="B55" s="707"/>
      <c r="C55" s="707"/>
      <c r="D55" s="707"/>
      <c r="E55" s="707"/>
      <c r="F55" s="706"/>
      <c r="G55" s="706"/>
      <c r="H55" s="708"/>
      <c r="I55" s="709"/>
      <c r="J55" s="706"/>
    </row>
    <row r="56" spans="1:10" ht="15.6">
      <c r="A56" s="683">
        <f>+A54+1</f>
        <v>46</v>
      </c>
      <c r="B56" s="683" t="s">
        <v>700</v>
      </c>
      <c r="F56" s="710" t="s">
        <v>710</v>
      </c>
      <c r="G56" s="706"/>
      <c r="I56" s="706"/>
      <c r="J56" s="697">
        <v>0</v>
      </c>
    </row>
    <row r="57" spans="1:10" ht="15.6">
      <c r="A57" s="683">
        <f>+A56+1</f>
        <v>47</v>
      </c>
      <c r="B57" s="683" t="s">
        <v>702</v>
      </c>
      <c r="F57" s="683" t="str">
        <f>"(Line "&amp;A56&amp;" less line "&amp;A58&amp;")"</f>
        <v>(Line 46 less line 48)</v>
      </c>
      <c r="G57" s="706"/>
      <c r="I57" s="706"/>
      <c r="J57" s="711">
        <f>+J56-J58</f>
        <v>0</v>
      </c>
    </row>
    <row r="58" spans="1:10" ht="15.6">
      <c r="A58" s="683">
        <f t="shared" si="11" ref="A58:A64">+A57+1</f>
        <v>48</v>
      </c>
      <c r="B58" s="683" t="s">
        <v>703</v>
      </c>
      <c r="F58" s="683" t="str">
        <f>"(Line "&amp;A41&amp;", Col H)"</f>
        <v>(Line 32, Col H)</v>
      </c>
      <c r="G58" s="706"/>
      <c r="I58" s="706"/>
      <c r="J58" s="696">
        <f>+J41</f>
        <v>0</v>
      </c>
    </row>
    <row r="59" spans="1:10" ht="15.6">
      <c r="A59" s="683">
        <f>+A58+1</f>
        <v>49</v>
      </c>
      <c r="B59" s="683" t="s">
        <v>704</v>
      </c>
      <c r="F59" s="710" t="s">
        <v>711</v>
      </c>
      <c r="G59" s="706"/>
      <c r="I59" s="706"/>
      <c r="J59" s="697">
        <v>0</v>
      </c>
    </row>
    <row r="60" spans="1:10" ht="15.6">
      <c r="A60" s="683">
        <f>+A59+1</f>
        <v>50</v>
      </c>
      <c r="B60" s="683" t="str">
        <f>+B57</f>
        <v>Less non Prorated Items</v>
      </c>
      <c r="F60" s="683" t="str">
        <f>"(Line "&amp;A59&amp;" less line "&amp;A61&amp;")"</f>
        <v>(Line 49 less line 51)</v>
      </c>
      <c r="G60" s="706"/>
      <c r="I60" s="706"/>
      <c r="J60" s="711">
        <f>+J59-J61</f>
        <v>0</v>
      </c>
    </row>
    <row r="61" spans="1:10" ht="15.6">
      <c r="A61" s="683">
        <f>+A60+1</f>
        <v>51</v>
      </c>
      <c r="B61" s="683" t="s">
        <v>706</v>
      </c>
      <c r="F61" s="683" t="str">
        <f>"(Line "&amp;A53&amp;", Col H)"</f>
        <v>(Line 44, Col H)</v>
      </c>
      <c r="G61" s="706"/>
      <c r="I61" s="706"/>
      <c r="J61" s="696">
        <f>+J53</f>
        <v>0</v>
      </c>
    </row>
    <row r="62" spans="1:10" ht="15.6">
      <c r="A62" s="710">
        <f>+A61+1</f>
        <v>52</v>
      </c>
      <c r="B62" s="710" t="s">
        <v>707</v>
      </c>
      <c r="C62" s="710"/>
      <c r="D62" s="710"/>
      <c r="E62" s="710"/>
      <c r="F62" s="710" t="s">
        <v>850</v>
      </c>
      <c r="G62" s="738"/>
      <c r="H62" s="710"/>
      <c r="I62" s="739"/>
      <c r="J62" s="740">
        <f>J53+(J57+J60)/2</f>
        <v>0</v>
      </c>
    </row>
    <row r="63" spans="1:10" ht="15.6">
      <c r="A63" s="683">
        <f>+A62+1</f>
        <v>53</v>
      </c>
      <c r="B63" s="683" t="s">
        <v>708</v>
      </c>
      <c r="F63" s="683" t="s">
        <v>805</v>
      </c>
      <c r="G63" s="706"/>
      <c r="I63" s="692"/>
      <c r="J63" s="697">
        <v>0</v>
      </c>
    </row>
    <row r="64" spans="1:10" ht="15.6">
      <c r="A64" s="683">
        <f>+A63+1</f>
        <v>54</v>
      </c>
      <c r="B64" s="683" t="s">
        <v>799</v>
      </c>
      <c r="F64" s="683" t="str">
        <f>"(Line "&amp;A62&amp;" less line "&amp;A63&amp;")"</f>
        <v>(Line 52 less line 53)</v>
      </c>
      <c r="J64" s="712">
        <f>+J62-J63</f>
        <v>0</v>
      </c>
    </row>
    <row r="65" ht="15.6"/>
    <row r="66" spans="1:10" ht="15.6">
      <c r="A66" s="713"/>
      <c r="B66" s="714"/>
      <c r="C66" s="713"/>
      <c r="D66" s="713"/>
      <c r="E66" s="713"/>
      <c r="F66" s="713"/>
      <c r="G66" s="713"/>
      <c r="H66" s="713"/>
      <c r="I66" s="713"/>
      <c r="J66" s="713"/>
    </row>
    <row r="67" spans="1:10" ht="15.6">
      <c r="A67" s="683">
        <f>+A64+1</f>
        <v>55</v>
      </c>
      <c r="B67" s="686" t="s">
        <v>709</v>
      </c>
      <c r="H67" s="687"/>
      <c r="I67" s="687"/>
      <c r="J67" s="687"/>
    </row>
    <row r="68" spans="1:10" ht="15.6">
      <c r="A68" s="683">
        <f>+A67+1</f>
        <v>56</v>
      </c>
      <c r="B68" s="768" t="s">
        <v>690</v>
      </c>
      <c r="C68" s="769"/>
      <c r="D68" s="769"/>
      <c r="E68" s="769"/>
      <c r="F68" s="770"/>
      <c r="G68" s="688"/>
      <c r="H68" s="771" t="s">
        <v>691</v>
      </c>
      <c r="I68" s="772"/>
      <c r="J68" s="773"/>
    </row>
    <row r="69" spans="2:10" ht="15.6">
      <c r="B69" s="689" t="s">
        <v>73</v>
      </c>
      <c r="C69" s="689" t="s">
        <v>74</v>
      </c>
      <c r="D69" s="689" t="s">
        <v>75</v>
      </c>
      <c r="E69" s="689" t="s">
        <v>76</v>
      </c>
      <c r="F69" s="689" t="s">
        <v>77</v>
      </c>
      <c r="G69" s="688"/>
      <c r="H69" s="689" t="s">
        <v>78</v>
      </c>
      <c r="I69" s="689" t="s">
        <v>79</v>
      </c>
      <c r="J69" s="689" t="s">
        <v>81</v>
      </c>
    </row>
    <row r="70" spans="1:10" ht="62.4">
      <c r="A70" s="683">
        <f>+A68+1</f>
        <v>57</v>
      </c>
      <c r="B70" s="691" t="s">
        <v>201</v>
      </c>
      <c r="C70" s="691" t="s">
        <v>692</v>
      </c>
      <c r="D70" s="691" t="s">
        <v>693</v>
      </c>
      <c r="E70" s="691" t="s">
        <v>694</v>
      </c>
      <c r="F70" s="691" t="s">
        <v>695</v>
      </c>
      <c r="G70" s="692"/>
      <c r="H70" s="691" t="s">
        <v>696</v>
      </c>
      <c r="I70" s="691" t="s">
        <v>697</v>
      </c>
      <c r="J70" s="691" t="s">
        <v>698</v>
      </c>
    </row>
    <row r="71" spans="1:10" ht="15.6">
      <c r="A71" s="683">
        <f t="shared" si="12" ref="A71:A85">+A70+1</f>
        <v>58</v>
      </c>
      <c r="C71" s="692"/>
      <c r="D71" s="692"/>
      <c r="E71" s="692"/>
      <c r="F71" s="692"/>
      <c r="G71" s="692"/>
      <c r="H71" s="692"/>
      <c r="I71" s="692"/>
      <c r="J71" s="692"/>
    </row>
    <row r="72" spans="1:11" ht="15.6">
      <c r="A72" s="683">
        <f>+A71+1</f>
        <v>59</v>
      </c>
      <c r="B72" s="693" t="s">
        <v>699</v>
      </c>
      <c r="C72" s="694"/>
      <c r="D72" s="695"/>
      <c r="E72" s="695"/>
      <c r="F72" s="695"/>
      <c r="G72" s="695"/>
      <c r="H72" s="696"/>
      <c r="I72" s="696"/>
      <c r="J72" s="697">
        <v>-22092</v>
      </c>
      <c r="K72" s="715"/>
    </row>
    <row r="73" spans="1:13" ht="15.6">
      <c r="A73" s="683">
        <f>+A72+1</f>
        <v>60</v>
      </c>
      <c r="B73" s="694" t="s">
        <v>101</v>
      </c>
      <c r="C73" s="696">
        <v>31</v>
      </c>
      <c r="D73" s="699">
        <f>C73</f>
        <v>31</v>
      </c>
      <c r="E73" s="700">
        <f>D85-D73+1</f>
        <v>335</v>
      </c>
      <c r="F73" s="701">
        <f>IF(E73=0,0,E73/$D$85)</f>
        <v>0.9178082191780822</v>
      </c>
      <c r="G73" s="695"/>
      <c r="H73" s="697">
        <v>3399</v>
      </c>
      <c r="I73" s="696">
        <v>8363.1321181229632</v>
      </c>
      <c r="J73" s="696">
        <f>+J72+I73</f>
        <v>-13728.867881877037</v>
      </c>
      <c r="L73" s="716"/>
      <c r="M73" s="717"/>
    </row>
    <row r="74" spans="1:13" ht="15.6">
      <c r="A74" s="683">
        <f>+A73+1</f>
        <v>61</v>
      </c>
      <c r="B74" s="694" t="s">
        <v>100</v>
      </c>
      <c r="C74" s="697">
        <f>C12</f>
        <v>28</v>
      </c>
      <c r="D74" s="699">
        <f t="shared" si="13" ref="D74:D84">C74</f>
        <v>28</v>
      </c>
      <c r="E74" s="700">
        <f>$D$23-SUM($D$73:D74)+1</f>
        <v>307</v>
      </c>
      <c r="F74" s="701">
        <f t="shared" si="14" ref="F74:F84">IF(E74=0,0,E74/$D$85)</f>
        <v>0.84109589041095889</v>
      </c>
      <c r="G74" s="718"/>
      <c r="H74" s="697">
        <v>3399</v>
      </c>
      <c r="I74" s="696">
        <v>7664.1240604888044</v>
      </c>
      <c r="J74" s="696">
        <f>+J73+I74</f>
        <v>-6064.7438213882324</v>
      </c>
      <c r="L74" s="716"/>
      <c r="M74" s="716"/>
    </row>
    <row r="75" spans="1:13" ht="15.6">
      <c r="A75" s="683">
        <f>+A74+1</f>
        <v>62</v>
      </c>
      <c r="B75" s="694" t="s">
        <v>99</v>
      </c>
      <c r="C75" s="696">
        <v>31</v>
      </c>
      <c r="D75" s="699">
        <f>C75</f>
        <v>31</v>
      </c>
      <c r="E75" s="700">
        <f>$D$23-SUM($D$73:D75)+1</f>
        <v>276</v>
      </c>
      <c r="F75" s="701">
        <f>IF(E75=0,0,E75/$D$85)</f>
        <v>0.75616438356164384</v>
      </c>
      <c r="G75" s="718"/>
      <c r="H75" s="697">
        <f t="shared" si="15" ref="H75:H77">+H74</f>
        <v>3399</v>
      </c>
      <c r="I75" s="696">
        <v>6890.2222823938437</v>
      </c>
      <c r="J75" s="696">
        <f>+J74+I75</f>
        <v>825.47846100561128</v>
      </c>
      <c r="L75" s="716"/>
      <c r="M75" s="716"/>
    </row>
    <row r="76" spans="1:13" ht="15.6">
      <c r="A76" s="683">
        <f>+A75+1</f>
        <v>63</v>
      </c>
      <c r="B76" s="694" t="s">
        <v>91</v>
      </c>
      <c r="C76" s="696">
        <v>30</v>
      </c>
      <c r="D76" s="699">
        <f>C76</f>
        <v>30</v>
      </c>
      <c r="E76" s="700">
        <f>$D$23-SUM($D$73:D76)+1</f>
        <v>246</v>
      </c>
      <c r="F76" s="701">
        <f>IF(E76=0,0,E76/$D$85)</f>
        <v>0.67397260273972603</v>
      </c>
      <c r="G76" s="718"/>
      <c r="H76" s="697">
        <f>+H75</f>
        <v>3399</v>
      </c>
      <c r="I76" s="696">
        <v>6141.2850777858175</v>
      </c>
      <c r="J76" s="696">
        <f t="shared" si="16" ref="J76:J84">+J75+I76</f>
        <v>6966.7635387914288</v>
      </c>
      <c r="L76" s="716"/>
      <c r="M76" s="716"/>
    </row>
    <row r="77" spans="1:13" ht="15.6">
      <c r="A77" s="683">
        <f>+A76+1</f>
        <v>64</v>
      </c>
      <c r="B77" s="694" t="s">
        <v>90</v>
      </c>
      <c r="C77" s="696">
        <v>31</v>
      </c>
      <c r="D77" s="699">
        <f>C77</f>
        <v>31</v>
      </c>
      <c r="E77" s="700">
        <f>$D$23-SUM($D$73:D77)+1</f>
        <v>215</v>
      </c>
      <c r="F77" s="701">
        <f>IF(E77=0,0,E77/$D$85)</f>
        <v>0.58904109589041098</v>
      </c>
      <c r="G77" s="718"/>
      <c r="H77" s="697">
        <f>+H76</f>
        <v>3399</v>
      </c>
      <c r="I77" s="696">
        <v>5367.3832996908568</v>
      </c>
      <c r="J77" s="696">
        <f>+J76+I77</f>
        <v>12334.146838482286</v>
      </c>
      <c r="L77" s="716"/>
      <c r="M77" s="716"/>
    </row>
    <row r="78" spans="1:13" ht="15.6">
      <c r="A78" s="683">
        <f>+A77+1</f>
        <v>65</v>
      </c>
      <c r="B78" s="694" t="s">
        <v>111</v>
      </c>
      <c r="C78" s="696">
        <v>30</v>
      </c>
      <c r="D78" s="699">
        <f>C78</f>
        <v>30</v>
      </c>
      <c r="E78" s="700">
        <f>$D$23-SUM($D$73:D78)+1</f>
        <v>185</v>
      </c>
      <c r="F78" s="701">
        <f>IF(E78=0,0,E78/$D$85)</f>
        <v>0.50684931506849318</v>
      </c>
      <c r="G78" s="718"/>
      <c r="H78" s="697">
        <v>3398</v>
      </c>
      <c r="I78" s="696">
        <v>4618.4460950828307</v>
      </c>
      <c r="J78" s="696">
        <f>+J77+I78</f>
        <v>16952.592933565116</v>
      </c>
      <c r="L78" s="716"/>
      <c r="M78" s="716"/>
    </row>
    <row r="79" spans="1:16" ht="15.6">
      <c r="A79" s="683">
        <f>+A78+1</f>
        <v>66</v>
      </c>
      <c r="B79" s="694" t="s">
        <v>98</v>
      </c>
      <c r="C79" s="696">
        <v>31</v>
      </c>
      <c r="D79" s="699">
        <f>C79</f>
        <v>31</v>
      </c>
      <c r="E79" s="700">
        <f>$D$23-SUM($D$73:D79)+1</f>
        <v>154</v>
      </c>
      <c r="F79" s="701">
        <f>IF(E79=0,0,E79/$D$85)</f>
        <v>0.42191780821917807</v>
      </c>
      <c r="G79" s="718"/>
      <c r="H79" s="697">
        <v>3398</v>
      </c>
      <c r="I79" s="696">
        <v>3844.5443169878695</v>
      </c>
      <c r="J79" s="696">
        <f>+J78+I79</f>
        <v>20797.137250552987</v>
      </c>
      <c r="L79" s="716"/>
      <c r="M79" s="716"/>
      <c r="N79" s="719"/>
      <c r="P79" s="716"/>
    </row>
    <row r="80" spans="1:16" ht="15.6">
      <c r="A80" s="683">
        <f>+A79+1</f>
        <v>67</v>
      </c>
      <c r="B80" s="694" t="s">
        <v>97</v>
      </c>
      <c r="C80" s="696">
        <v>31</v>
      </c>
      <c r="D80" s="699">
        <f>C80</f>
        <v>31</v>
      </c>
      <c r="E80" s="700">
        <f>$D$23-SUM($D$73:D80)+1</f>
        <v>123</v>
      </c>
      <c r="F80" s="701">
        <f>IF(E80=0,0,E80/$D$85)</f>
        <v>0.33698630136986302</v>
      </c>
      <c r="G80" s="718"/>
      <c r="H80" s="697">
        <v>3398</v>
      </c>
      <c r="I80" s="696">
        <v>3070.6425388929088</v>
      </c>
      <c r="J80" s="696">
        <f>+J79+I80</f>
        <v>23867.779789445896</v>
      </c>
      <c r="L80" s="716"/>
      <c r="M80" s="716"/>
      <c r="N80" s="719"/>
      <c r="P80" s="716"/>
    </row>
    <row r="81" spans="1:16" ht="15.6">
      <c r="A81" s="683">
        <f>+A80+1</f>
        <v>68</v>
      </c>
      <c r="B81" s="694" t="s">
        <v>96</v>
      </c>
      <c r="C81" s="696">
        <v>30</v>
      </c>
      <c r="D81" s="699">
        <f>C81</f>
        <v>30</v>
      </c>
      <c r="E81" s="700">
        <f>$D$23-SUM($D$73:D81)+1</f>
        <v>93</v>
      </c>
      <c r="F81" s="701">
        <f>IF(E81=0,0,E81/$D$85)</f>
        <v>0.25479452054794521</v>
      </c>
      <c r="G81" s="718"/>
      <c r="H81" s="697">
        <v>3398</v>
      </c>
      <c r="I81" s="696">
        <v>2321.7053342848822</v>
      </c>
      <c r="J81" s="696">
        <f>+J80+I81</f>
        <v>26189.485123730778</v>
      </c>
      <c r="L81" s="716"/>
      <c r="M81" s="716"/>
      <c r="N81" s="719"/>
      <c r="P81" s="716"/>
    </row>
    <row r="82" spans="1:16" ht="15.6">
      <c r="A82" s="683">
        <f>+A81+1</f>
        <v>69</v>
      </c>
      <c r="B82" s="694" t="s">
        <v>102</v>
      </c>
      <c r="C82" s="696">
        <v>31</v>
      </c>
      <c r="D82" s="699">
        <f>C82</f>
        <v>31</v>
      </c>
      <c r="E82" s="700">
        <f>$D$23-SUM($D$73:D82)+1</f>
        <v>62</v>
      </c>
      <c r="F82" s="701">
        <f>IF(E82=0,0,E82/$D$85)</f>
        <v>0.16986301369863013</v>
      </c>
      <c r="G82" s="718"/>
      <c r="H82" s="697">
        <v>3398</v>
      </c>
      <c r="I82" s="696">
        <v>1547.8035561899214</v>
      </c>
      <c r="J82" s="696">
        <f>+J81+I82</f>
        <v>27737.288679920697</v>
      </c>
      <c r="L82" s="716"/>
      <c r="M82" s="716"/>
      <c r="N82" s="719"/>
      <c r="P82" s="716"/>
    </row>
    <row r="83" spans="1:16" ht="15.6">
      <c r="A83" s="683">
        <f>+A82+1</f>
        <v>70</v>
      </c>
      <c r="B83" s="694" t="s">
        <v>95</v>
      </c>
      <c r="C83" s="696">
        <v>30</v>
      </c>
      <c r="D83" s="699">
        <f>C83</f>
        <v>30</v>
      </c>
      <c r="E83" s="700">
        <f>$D$23-SUM($D$73:D83)+1</f>
        <v>32</v>
      </c>
      <c r="F83" s="701">
        <f>IF(E83=0,0,E83/$D$85)</f>
        <v>0.087671232876712329</v>
      </c>
      <c r="G83" s="718"/>
      <c r="H83" s="697">
        <v>3398</v>
      </c>
      <c r="I83" s="696">
        <v>798.86635158189495</v>
      </c>
      <c r="J83" s="696">
        <f>+J82+I83</f>
        <v>28536.155031502592</v>
      </c>
      <c r="L83" s="716"/>
      <c r="M83" s="716"/>
      <c r="N83" s="719"/>
      <c r="P83" s="716"/>
    </row>
    <row r="84" spans="1:16" ht="15.6">
      <c r="A84" s="683">
        <f>+A83+1</f>
        <v>71</v>
      </c>
      <c r="B84" s="694" t="s">
        <v>94</v>
      </c>
      <c r="C84" s="696">
        <v>31</v>
      </c>
      <c r="D84" s="699">
        <f>C84</f>
        <v>31</v>
      </c>
      <c r="E84" s="700">
        <f>$D$23-SUM($D$73:D84)+1</f>
        <v>1</v>
      </c>
      <c r="F84" s="701">
        <f>IF(E84=0,0,E84/$D$85)</f>
        <v>0.0027397260273972603</v>
      </c>
      <c r="G84" s="718"/>
      <c r="H84" s="697">
        <v>3398</v>
      </c>
      <c r="I84" s="696">
        <v>24.964573486934217</v>
      </c>
      <c r="J84" s="696">
        <f>+J83+I84</f>
        <v>28561.119604989526</v>
      </c>
      <c r="K84" s="720"/>
      <c r="L84" s="716"/>
      <c r="M84" s="716"/>
      <c r="N84" s="719"/>
      <c r="P84" s="716"/>
    </row>
    <row r="85" spans="1:10" ht="15.6">
      <c r="A85" s="683">
        <f>+A84+1</f>
        <v>72</v>
      </c>
      <c r="B85" s="702"/>
      <c r="C85" s="702" t="s">
        <v>19</v>
      </c>
      <c r="D85" s="703">
        <f>SUM(D73:D84)</f>
        <v>365</v>
      </c>
      <c r="E85" s="702"/>
      <c r="F85" s="704"/>
      <c r="G85" s="695"/>
      <c r="H85" s="705">
        <f>SUM(H73:H84)</f>
        <v>40781</v>
      </c>
      <c r="I85" s="705">
        <f>SUM(I73:I84)</f>
        <v>50653.119604989522</v>
      </c>
      <c r="J85" s="704"/>
    </row>
    <row r="86" spans="2:10" ht="15.6">
      <c r="B86" s="707"/>
      <c r="C86" s="707"/>
      <c r="D86" s="707"/>
      <c r="E86" s="707"/>
      <c r="F86" s="706"/>
      <c r="G86" s="706"/>
      <c r="H86" s="721"/>
      <c r="I86" s="709"/>
      <c r="J86" s="706"/>
    </row>
    <row r="87" spans="1:13" ht="15.6">
      <c r="A87" s="683">
        <f>+A85+1</f>
        <v>73</v>
      </c>
      <c r="B87" s="683" t="s">
        <v>700</v>
      </c>
      <c r="F87" s="710" t="s">
        <v>710</v>
      </c>
      <c r="G87" s="706"/>
      <c r="H87" s="731"/>
      <c r="I87" s="706"/>
      <c r="J87" s="697">
        <v>-22092</v>
      </c>
      <c r="M87" s="722"/>
    </row>
    <row r="88" spans="1:10" ht="15.6">
      <c r="A88" s="683">
        <f>+A87+1</f>
        <v>74</v>
      </c>
      <c r="B88" s="683" t="s">
        <v>845</v>
      </c>
      <c r="F88" s="683" t="str">
        <f>"(Line "&amp;A87&amp;" less line "&amp;A89&amp;")"</f>
        <v>(Line 73 less line 75)</v>
      </c>
      <c r="G88" s="706"/>
      <c r="I88" s="706"/>
      <c r="J88" s="711">
        <f>+J87-J89</f>
        <v>0</v>
      </c>
    </row>
    <row r="89" spans="1:10" ht="15.6">
      <c r="A89" s="683">
        <f t="shared" si="17" ref="A89:A95">+A88+1</f>
        <v>75</v>
      </c>
      <c r="B89" s="683" t="s">
        <v>703</v>
      </c>
      <c r="F89" s="683" t="str">
        <f>"(Line "&amp;A72&amp;", Col H)"</f>
        <v>(Line 59, Col H)</v>
      </c>
      <c r="G89" s="706"/>
      <c r="I89" s="706"/>
      <c r="J89" s="696">
        <f>J87</f>
        <v>-22092</v>
      </c>
    </row>
    <row r="90" spans="1:10" ht="15.6">
      <c r="A90" s="683">
        <f>+A89+1</f>
        <v>76</v>
      </c>
      <c r="B90" s="683" t="s">
        <v>704</v>
      </c>
      <c r="F90" s="710" t="s">
        <v>711</v>
      </c>
      <c r="G90" s="706"/>
      <c r="I90" s="706"/>
      <c r="J90" s="697">
        <v>18689</v>
      </c>
    </row>
    <row r="91" spans="1:10" ht="15.6">
      <c r="A91" s="683">
        <f>+A90+1</f>
        <v>77</v>
      </c>
      <c r="B91" s="683" t="str">
        <f>+B88</f>
        <v xml:space="preserve">Less non Prorated Items </v>
      </c>
      <c r="F91" s="683" t="str">
        <f>"(Line "&amp;A90&amp;" less line "&amp;A92&amp;")"</f>
        <v>(Line 76 less line 78)</v>
      </c>
      <c r="G91" s="706"/>
      <c r="I91" s="706"/>
      <c r="J91" s="711">
        <f>J90-J92</f>
        <v>-9872.1196049895261</v>
      </c>
    </row>
    <row r="92" spans="1:10" ht="15.6">
      <c r="A92" s="683">
        <f>+A91+1</f>
        <v>78</v>
      </c>
      <c r="B92" s="683" t="s">
        <v>706</v>
      </c>
      <c r="F92" s="683" t="str">
        <f>"(Line "&amp;A84&amp;", Col H)"</f>
        <v>(Line 71, Col H)</v>
      </c>
      <c r="G92" s="706"/>
      <c r="I92" s="706"/>
      <c r="J92" s="735">
        <f>J84</f>
        <v>28561.119604989526</v>
      </c>
    </row>
    <row r="93" spans="1:10" ht="15.6">
      <c r="A93" s="710">
        <f>+A92+1</f>
        <v>79</v>
      </c>
      <c r="B93" s="710" t="s">
        <v>707</v>
      </c>
      <c r="C93" s="710"/>
      <c r="D93" s="710"/>
      <c r="E93" s="710"/>
      <c r="F93" s="710" t="s">
        <v>851</v>
      </c>
      <c r="G93" s="738"/>
      <c r="H93" s="710"/>
      <c r="I93" s="739"/>
      <c r="J93" s="740">
        <f>J84+(J88+J91)/2</f>
        <v>23625.059802494761</v>
      </c>
    </row>
    <row r="94" spans="1:10" ht="15.6">
      <c r="A94" s="683">
        <f>+A93+1</f>
        <v>80</v>
      </c>
      <c r="B94" s="683" t="s">
        <v>708</v>
      </c>
      <c r="F94" s="683" t="s">
        <v>805</v>
      </c>
      <c r="G94" s="706"/>
      <c r="I94" s="692"/>
      <c r="J94" s="697">
        <v>0</v>
      </c>
    </row>
    <row r="95" spans="1:10" ht="15.6">
      <c r="A95" s="683">
        <f>+A94+1</f>
        <v>81</v>
      </c>
      <c r="B95" s="683" t="s">
        <v>799</v>
      </c>
      <c r="F95" s="683" t="str">
        <f>"(Line "&amp;A93&amp;" less line "&amp;A94&amp;")"</f>
        <v>(Line 79 less line 80)</v>
      </c>
      <c r="J95" s="712">
        <f>+J93-J94</f>
        <v>23625.059802494761</v>
      </c>
    </row>
    <row r="96" ht="15.6"/>
    <row r="97" ht="15.6"/>
    <row r="98" spans="1:10" ht="15.6">
      <c r="A98" s="683">
        <f>+A95+1</f>
        <v>82</v>
      </c>
      <c r="B98" s="686" t="s">
        <v>712</v>
      </c>
      <c r="H98" s="687"/>
      <c r="I98" s="687"/>
      <c r="J98" s="687"/>
    </row>
    <row r="99" spans="1:10" ht="15.6">
      <c r="A99" s="683">
        <f>+A98+1</f>
        <v>83</v>
      </c>
      <c r="B99" s="768" t="s">
        <v>690</v>
      </c>
      <c r="C99" s="769"/>
      <c r="D99" s="769"/>
      <c r="E99" s="769"/>
      <c r="F99" s="770"/>
      <c r="G99" s="688"/>
      <c r="H99" s="771" t="s">
        <v>691</v>
      </c>
      <c r="I99" s="772"/>
      <c r="J99" s="773"/>
    </row>
    <row r="100" spans="2:10" ht="15.6">
      <c r="B100" s="689" t="s">
        <v>73</v>
      </c>
      <c r="C100" s="689" t="s">
        <v>74</v>
      </c>
      <c r="D100" s="689" t="s">
        <v>75</v>
      </c>
      <c r="E100" s="689" t="s">
        <v>76</v>
      </c>
      <c r="F100" s="689" t="s">
        <v>77</v>
      </c>
      <c r="G100" s="688"/>
      <c r="H100" s="689" t="s">
        <v>78</v>
      </c>
      <c r="I100" s="689" t="s">
        <v>79</v>
      </c>
      <c r="J100" s="689" t="s">
        <v>81</v>
      </c>
    </row>
    <row r="101" spans="1:10" ht="62.4">
      <c r="A101" s="683">
        <f>+A99+1</f>
        <v>84</v>
      </c>
      <c r="B101" s="691" t="s">
        <v>201</v>
      </c>
      <c r="C101" s="691" t="s">
        <v>692</v>
      </c>
      <c r="D101" s="691" t="s">
        <v>693</v>
      </c>
      <c r="E101" s="691" t="s">
        <v>694</v>
      </c>
      <c r="F101" s="691" t="s">
        <v>695</v>
      </c>
      <c r="G101" s="692"/>
      <c r="H101" s="691" t="s">
        <v>696</v>
      </c>
      <c r="I101" s="691" t="s">
        <v>697</v>
      </c>
      <c r="J101" s="691" t="s">
        <v>698</v>
      </c>
    </row>
    <row r="102" spans="1:10" ht="15.6">
      <c r="A102" s="683">
        <f t="shared" si="18" ref="A102:A116">+A101+1</f>
        <v>85</v>
      </c>
      <c r="C102" s="692"/>
      <c r="D102" s="692"/>
      <c r="E102" s="692"/>
      <c r="F102" s="692"/>
      <c r="G102" s="692"/>
      <c r="H102" s="692"/>
      <c r="I102" s="692"/>
      <c r="J102" s="692"/>
    </row>
    <row r="103" spans="1:10" ht="15.6">
      <c r="A103" s="683">
        <f>+A102+1</f>
        <v>86</v>
      </c>
      <c r="B103" s="693" t="s">
        <v>699</v>
      </c>
      <c r="C103" s="694"/>
      <c r="D103" s="695"/>
      <c r="E103" s="695"/>
      <c r="F103" s="695"/>
      <c r="G103" s="695"/>
      <c r="H103" s="696"/>
      <c r="I103" s="696"/>
      <c r="J103" s="697">
        <v>0</v>
      </c>
    </row>
    <row r="104" spans="1:10" ht="15.6">
      <c r="A104" s="683">
        <f>+A103+1</f>
        <v>87</v>
      </c>
      <c r="B104" s="694" t="s">
        <v>101</v>
      </c>
      <c r="C104" s="696">
        <v>31</v>
      </c>
      <c r="D104" s="699">
        <f>C104</f>
        <v>31</v>
      </c>
      <c r="E104" s="700">
        <f>D116-D104+1</f>
        <v>335</v>
      </c>
      <c r="F104" s="701">
        <f>IF(E104=0,0,E104/$D$116)</f>
        <v>0.9178082191780822</v>
      </c>
      <c r="G104" s="695"/>
      <c r="H104" s="697"/>
      <c r="I104" s="696"/>
      <c r="J104" s="696"/>
    </row>
    <row r="105" spans="1:10" ht="15.6">
      <c r="A105" s="683">
        <f>+A104+1</f>
        <v>88</v>
      </c>
      <c r="B105" s="694" t="s">
        <v>100</v>
      </c>
      <c r="C105" s="697">
        <v>28</v>
      </c>
      <c r="D105" s="699">
        <f t="shared" si="19" ref="D105:D115">C105</f>
        <v>28</v>
      </c>
      <c r="E105" s="700">
        <f>$D$23-SUM($D$104:D105)+1</f>
        <v>307</v>
      </c>
      <c r="F105" s="701">
        <f t="shared" si="20" ref="F105:F115">IF(E105=0,0,E105/$D$116)</f>
        <v>0.84109589041095889</v>
      </c>
      <c r="G105" s="695"/>
      <c r="H105" s="697"/>
      <c r="I105" s="696"/>
      <c r="J105" s="696"/>
    </row>
    <row r="106" spans="1:10" ht="15.6">
      <c r="A106" s="683">
        <f>+A105+1</f>
        <v>89</v>
      </c>
      <c r="B106" s="694" t="s">
        <v>99</v>
      </c>
      <c r="C106" s="696">
        <v>31</v>
      </c>
      <c r="D106" s="699">
        <f>C106</f>
        <v>31</v>
      </c>
      <c r="E106" s="700">
        <f>$D$23-SUM($D$104:D106)+1</f>
        <v>276</v>
      </c>
      <c r="F106" s="701">
        <f>IF(E106=0,0,E106/$D$116)</f>
        <v>0.75616438356164384</v>
      </c>
      <c r="G106" s="695"/>
      <c r="H106" s="697"/>
      <c r="I106" s="696"/>
      <c r="J106" s="696"/>
    </row>
    <row r="107" spans="1:10" ht="15.6">
      <c r="A107" s="683">
        <f>+A106+1</f>
        <v>90</v>
      </c>
      <c r="B107" s="694" t="s">
        <v>91</v>
      </c>
      <c r="C107" s="696">
        <v>30</v>
      </c>
      <c r="D107" s="699">
        <f>C107</f>
        <v>30</v>
      </c>
      <c r="E107" s="700">
        <f>$D$23-SUM($D$104:D107)+1</f>
        <v>246</v>
      </c>
      <c r="F107" s="701">
        <f>IF(E107=0,0,E107/$D$116)</f>
        <v>0.67397260273972603</v>
      </c>
      <c r="G107" s="695"/>
      <c r="H107" s="697"/>
      <c r="I107" s="696"/>
      <c r="J107" s="696"/>
    </row>
    <row r="108" spans="1:10" ht="15.6">
      <c r="A108" s="683">
        <f>+A107+1</f>
        <v>91</v>
      </c>
      <c r="B108" s="694" t="s">
        <v>90</v>
      </c>
      <c r="C108" s="696">
        <v>31</v>
      </c>
      <c r="D108" s="699">
        <f>C108</f>
        <v>31</v>
      </c>
      <c r="E108" s="700">
        <f>$D$23-SUM($D$104:D108)+1</f>
        <v>215</v>
      </c>
      <c r="F108" s="701">
        <f>IF(E108=0,0,E108/$D$116)</f>
        <v>0.58904109589041098</v>
      </c>
      <c r="G108" s="695"/>
      <c r="H108" s="697"/>
      <c r="I108" s="696"/>
      <c r="J108" s="696"/>
    </row>
    <row r="109" spans="1:10" ht="15.6">
      <c r="A109" s="683">
        <f>+A108+1</f>
        <v>92</v>
      </c>
      <c r="B109" s="694" t="s">
        <v>111</v>
      </c>
      <c r="C109" s="696">
        <v>30</v>
      </c>
      <c r="D109" s="699">
        <f>C109</f>
        <v>30</v>
      </c>
      <c r="E109" s="700">
        <f>$D$23-SUM($D$104:D109)+1</f>
        <v>185</v>
      </c>
      <c r="F109" s="701">
        <f>IF(E109=0,0,E109/$D$116)</f>
        <v>0.50684931506849318</v>
      </c>
      <c r="G109" s="695"/>
      <c r="H109" s="697"/>
      <c r="I109" s="696"/>
      <c r="J109" s="696"/>
    </row>
    <row r="110" spans="1:10" ht="15.6">
      <c r="A110" s="683">
        <f>+A109+1</f>
        <v>93</v>
      </c>
      <c r="B110" s="694" t="s">
        <v>98</v>
      </c>
      <c r="C110" s="696">
        <v>31</v>
      </c>
      <c r="D110" s="699">
        <f>C110</f>
        <v>31</v>
      </c>
      <c r="E110" s="700">
        <f>$D$23-SUM($D$104:D110)+1</f>
        <v>154</v>
      </c>
      <c r="F110" s="701">
        <f>IF(E110=0,0,E110/$D$116)</f>
        <v>0.42191780821917807</v>
      </c>
      <c r="G110" s="695"/>
      <c r="H110" s="697"/>
      <c r="I110" s="696"/>
      <c r="J110" s="696"/>
    </row>
    <row r="111" spans="1:10" ht="15.6">
      <c r="A111" s="683">
        <f>+A110+1</f>
        <v>94</v>
      </c>
      <c r="B111" s="694" t="s">
        <v>97</v>
      </c>
      <c r="C111" s="696">
        <v>31</v>
      </c>
      <c r="D111" s="699">
        <f>C111</f>
        <v>31</v>
      </c>
      <c r="E111" s="700">
        <f>$D$23-SUM($D$104:D111)+1</f>
        <v>123</v>
      </c>
      <c r="F111" s="701">
        <f>IF(E111=0,0,E111/$D$116)</f>
        <v>0.33698630136986302</v>
      </c>
      <c r="G111" s="695"/>
      <c r="H111" s="697"/>
      <c r="I111" s="696"/>
      <c r="J111" s="696"/>
    </row>
    <row r="112" spans="1:10" ht="15.6">
      <c r="A112" s="683">
        <f>+A111+1</f>
        <v>95</v>
      </c>
      <c r="B112" s="694" t="s">
        <v>96</v>
      </c>
      <c r="C112" s="696">
        <v>30</v>
      </c>
      <c r="D112" s="699">
        <f>C112</f>
        <v>30</v>
      </c>
      <c r="E112" s="700">
        <f>$D$23-SUM($D$104:D112)+1</f>
        <v>93</v>
      </c>
      <c r="F112" s="701">
        <f>IF(E112=0,0,E112/$D$116)</f>
        <v>0.25479452054794521</v>
      </c>
      <c r="G112" s="695"/>
      <c r="H112" s="697"/>
      <c r="I112" s="696"/>
      <c r="J112" s="696"/>
    </row>
    <row r="113" spans="1:10" ht="15.6">
      <c r="A113" s="683">
        <f>+A112+1</f>
        <v>96</v>
      </c>
      <c r="B113" s="694" t="s">
        <v>102</v>
      </c>
      <c r="C113" s="696">
        <v>31</v>
      </c>
      <c r="D113" s="699">
        <f>C113</f>
        <v>31</v>
      </c>
      <c r="E113" s="700">
        <f>$D$23-SUM($D$104:D113)+1</f>
        <v>62</v>
      </c>
      <c r="F113" s="701">
        <f>IF(E113=0,0,E113/$D$116)</f>
        <v>0.16986301369863013</v>
      </c>
      <c r="G113" s="695"/>
      <c r="H113" s="697"/>
      <c r="I113" s="696"/>
      <c r="J113" s="696"/>
    </row>
    <row r="114" spans="1:10" ht="15.6">
      <c r="A114" s="683">
        <f>+A113+1</f>
        <v>97</v>
      </c>
      <c r="B114" s="694" t="s">
        <v>95</v>
      </c>
      <c r="C114" s="696">
        <v>30</v>
      </c>
      <c r="D114" s="699">
        <f>C114</f>
        <v>30</v>
      </c>
      <c r="E114" s="700">
        <f>$D$23-SUM($D$104:D114)+1</f>
        <v>32</v>
      </c>
      <c r="F114" s="701">
        <f>IF(E114=0,0,E114/$D$116)</f>
        <v>0.087671232876712329</v>
      </c>
      <c r="G114" s="695"/>
      <c r="H114" s="697"/>
      <c r="I114" s="696"/>
      <c r="J114" s="696"/>
    </row>
    <row r="115" spans="1:10" ht="15.6">
      <c r="A115" s="683">
        <f>+A114+1</f>
        <v>98</v>
      </c>
      <c r="B115" s="694" t="s">
        <v>94</v>
      </c>
      <c r="C115" s="696">
        <v>31</v>
      </c>
      <c r="D115" s="699">
        <f>C115</f>
        <v>31</v>
      </c>
      <c r="E115" s="700">
        <f>$D$23-SUM($D$104:D115)+1</f>
        <v>1</v>
      </c>
      <c r="F115" s="701">
        <f>IF(E115=0,0,E115/$D$116)</f>
        <v>0.0027397260273972603</v>
      </c>
      <c r="G115" s="695"/>
      <c r="H115" s="697"/>
      <c r="I115" s="696"/>
      <c r="J115" s="696"/>
    </row>
    <row r="116" spans="1:10" ht="15.6">
      <c r="A116" s="683">
        <f>+A115+1</f>
        <v>99</v>
      </c>
      <c r="B116" s="702"/>
      <c r="C116" s="702" t="s">
        <v>19</v>
      </c>
      <c r="D116" s="703">
        <f>SUM(D104:D115)</f>
        <v>365</v>
      </c>
      <c r="E116" s="702"/>
      <c r="F116" s="704"/>
      <c r="G116" s="695"/>
      <c r="H116" s="705">
        <f>SUM(H104:H115)</f>
        <v>0</v>
      </c>
      <c r="I116" s="705">
        <f>SUM(I104:I115)</f>
        <v>0</v>
      </c>
      <c r="J116" s="704"/>
    </row>
    <row r="117" spans="2:10" ht="15.6">
      <c r="B117" s="707"/>
      <c r="C117" s="707"/>
      <c r="D117" s="707"/>
      <c r="E117" s="707"/>
      <c r="F117" s="706"/>
      <c r="G117" s="706"/>
      <c r="H117" s="708"/>
      <c r="I117" s="709"/>
      <c r="J117" s="706"/>
    </row>
    <row r="118" spans="1:10" ht="15.6">
      <c r="A118" s="683">
        <f>+A116+1</f>
        <v>100</v>
      </c>
      <c r="B118" s="683" t="s">
        <v>700</v>
      </c>
      <c r="F118" s="710" t="s">
        <v>713</v>
      </c>
      <c r="G118" s="706"/>
      <c r="I118" s="706"/>
      <c r="J118" s="697">
        <v>87018</v>
      </c>
    </row>
    <row r="119" spans="1:10" ht="15.6">
      <c r="A119" s="683">
        <f>+A118+1</f>
        <v>101</v>
      </c>
      <c r="B119" s="683" t="s">
        <v>702</v>
      </c>
      <c r="F119" s="683" t="str">
        <f>"(Line "&amp;A118&amp;" less line "&amp;A120&amp;")"</f>
        <v>(Line 100 less line 102)</v>
      </c>
      <c r="G119" s="706"/>
      <c r="I119" s="706"/>
      <c r="J119" s="711">
        <f>+J118-J120</f>
        <v>87018</v>
      </c>
    </row>
    <row r="120" spans="1:10" ht="15.6">
      <c r="A120" s="683">
        <f t="shared" si="21" ref="A120:A126">+A119+1</f>
        <v>102</v>
      </c>
      <c r="B120" s="683" t="s">
        <v>703</v>
      </c>
      <c r="F120" s="683" t="str">
        <f>"(Line "&amp;A103&amp;", Col H)"</f>
        <v>(Line 86, Col H)</v>
      </c>
      <c r="G120" s="706"/>
      <c r="I120" s="706"/>
      <c r="J120" s="696">
        <f>+J103</f>
        <v>0</v>
      </c>
    </row>
    <row r="121" spans="1:10" ht="15.6">
      <c r="A121" s="683">
        <f>+A120+1</f>
        <v>103</v>
      </c>
      <c r="B121" s="683" t="s">
        <v>704</v>
      </c>
      <c r="F121" s="710" t="s">
        <v>714</v>
      </c>
      <c r="G121" s="706"/>
      <c r="I121" s="706"/>
      <c r="J121" s="697">
        <v>87018</v>
      </c>
    </row>
    <row r="122" spans="1:10" ht="15.6">
      <c r="A122" s="683">
        <f>+A121+1</f>
        <v>104</v>
      </c>
      <c r="B122" s="683" t="str">
        <f>+B119</f>
        <v>Less non Prorated Items</v>
      </c>
      <c r="F122" s="683" t="str">
        <f>"(Line "&amp;A121&amp;" less line "&amp;A123&amp;")"</f>
        <v>(Line 103 less line 105)</v>
      </c>
      <c r="G122" s="706"/>
      <c r="I122" s="706"/>
      <c r="J122" s="711">
        <f>+J121-J123</f>
        <v>87018</v>
      </c>
    </row>
    <row r="123" spans="1:10" ht="15.6">
      <c r="A123" s="683">
        <f>+A122+1</f>
        <v>105</v>
      </c>
      <c r="B123" s="683" t="s">
        <v>706</v>
      </c>
      <c r="F123" s="683" t="str">
        <f>"(Line "&amp;A115&amp;", Col H)"</f>
        <v>(Line 98, Col H)</v>
      </c>
      <c r="G123" s="706"/>
      <c r="I123" s="706"/>
      <c r="J123" s="696">
        <f>+J115</f>
        <v>0</v>
      </c>
    </row>
    <row r="124" spans="1:10" ht="15.6">
      <c r="A124" s="710">
        <f>+A123+1</f>
        <v>106</v>
      </c>
      <c r="B124" s="710" t="s">
        <v>707</v>
      </c>
      <c r="C124" s="710"/>
      <c r="D124" s="710"/>
      <c r="E124" s="710"/>
      <c r="F124" s="710" t="s">
        <v>852</v>
      </c>
      <c r="G124" s="738"/>
      <c r="H124" s="710"/>
      <c r="I124" s="739"/>
      <c r="J124" s="740">
        <f>J115+(J119+J122)/2</f>
        <v>87018</v>
      </c>
    </row>
    <row r="125" spans="1:10" ht="15.6">
      <c r="A125" s="683">
        <f>+A124+1</f>
        <v>107</v>
      </c>
      <c r="B125" s="683" t="s">
        <v>708</v>
      </c>
      <c r="F125" s="683" t="s">
        <v>805</v>
      </c>
      <c r="G125" s="706"/>
      <c r="I125" s="692"/>
      <c r="J125" s="697">
        <v>0</v>
      </c>
    </row>
    <row r="126" spans="1:10" ht="15.6">
      <c r="A126" s="683">
        <f>+A125+1</f>
        <v>108</v>
      </c>
      <c r="B126" s="683" t="s">
        <v>799</v>
      </c>
      <c r="F126" s="683" t="str">
        <f>"(Line "&amp;A124&amp;" less line "&amp;A125&amp;")"</f>
        <v>(Line 106 less line 107)</v>
      </c>
      <c r="J126" s="712">
        <f>+J124-J125</f>
        <v>87018</v>
      </c>
    </row>
    <row r="127" ht="15.6"/>
    <row r="128" spans="1:8" ht="15.6">
      <c r="A128" s="723"/>
      <c r="B128" s="723"/>
      <c r="C128" s="723"/>
      <c r="D128" s="723"/>
      <c r="E128" s="723"/>
      <c r="F128" s="723"/>
      <c r="G128" s="723"/>
      <c r="H128" s="723"/>
    </row>
    <row r="129" spans="1:8" ht="15.6">
      <c r="A129" s="723"/>
      <c r="B129" s="723"/>
      <c r="C129" s="723"/>
      <c r="D129" s="723"/>
      <c r="E129" s="723"/>
      <c r="F129" s="723"/>
      <c r="G129" s="723"/>
      <c r="H129" s="723"/>
    </row>
  </sheetData>
  <mergeCells count="11">
    <mergeCell ref="B99:F99"/>
    <mergeCell ref="H99:J99"/>
    <mergeCell ref="B37:F37"/>
    <mergeCell ref="H37:J37"/>
    <mergeCell ref="B1:K1"/>
    <mergeCell ref="B2:K2"/>
    <mergeCell ref="B3:K3"/>
    <mergeCell ref="B6:F6"/>
    <mergeCell ref="H6:J6"/>
    <mergeCell ref="B68:F68"/>
    <mergeCell ref="H68:J68"/>
  </mergeCells>
  <printOptions horizontalCentered="1"/>
  <pageMargins left="0.45" right="0.45" top="0.5" bottom="0.5" header="0.3" footer="0.3"/>
  <pageSetup orientation="portrait" scale="34"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O96"/>
  <sheetViews>
    <sheetView zoomScale="70" zoomScaleNormal="70" workbookViewId="0" topLeftCell="A1"/>
  </sheetViews>
  <sheetFormatPr defaultColWidth="13.9955555555556" defaultRowHeight="13.5"/>
  <cols>
    <col min="1" max="1" width="5.77777777777778" style="124" bestFit="1" customWidth="1"/>
    <col min="2" max="2" width="23.7777777777778" style="15" customWidth="1"/>
    <col min="3" max="3" width="16.7777777777778" style="15" customWidth="1"/>
    <col min="4" max="4" width="16.2222222222222" style="15" customWidth="1"/>
    <col min="5" max="5" width="12" style="15" customWidth="1"/>
    <col min="6" max="7" width="10.7777777777778" style="15" customWidth="1"/>
    <col min="8" max="8" width="12.4444444444444" style="15" bestFit="1" customWidth="1"/>
    <col min="9" max="9" width="12.4444444444444" style="15" customWidth="1"/>
    <col min="10" max="10" width="13.7777777777778" style="15" bestFit="1" customWidth="1"/>
    <col min="11" max="11" width="12.5555555555556" style="15" bestFit="1" customWidth="1"/>
    <col min="12" max="12" width="13.2222222222222" style="15" customWidth="1"/>
    <col min="13" max="13" width="12.7777777777778" style="15" customWidth="1"/>
    <col min="14" max="14" width="14" style="15"/>
    <col min="15" max="15" width="10" style="15" bestFit="1" customWidth="1"/>
    <col min="16" max="16384" width="14" style="15"/>
  </cols>
  <sheetData>
    <row r="1" spans="7:13" ht="13.2">
      <c r="G1" s="20" t="s">
        <v>234</v>
      </c>
      <c r="M1" s="306" t="s">
        <v>684</v>
      </c>
    </row>
    <row r="2" spans="7:7" ht="15" customHeight="1">
      <c r="G2" s="304" t="s">
        <v>621</v>
      </c>
    </row>
    <row r="3" spans="4:14" ht="13.2">
      <c r="D3" s="40"/>
      <c r="E3" s="40"/>
      <c r="F3" s="40"/>
      <c r="G3" s="654" t="str">
        <f>'Attachment H'!$D$5</f>
        <v>NextEra Energy Transmission MidAtlantic Indiana, Inc.</v>
      </c>
      <c r="H3" s="40"/>
      <c r="J3" s="40"/>
      <c r="K3" s="40"/>
      <c r="L3" s="40"/>
      <c r="M3" s="40"/>
      <c r="N3" s="40"/>
    </row>
    <row r="4" spans="2:2" ht="13.2">
      <c r="B4" s="29"/>
    </row>
    <row r="5" ht="13.2"/>
    <row r="6" spans="1:15" s="137" customFormat="1" ht="69.75" customHeight="1">
      <c r="A6" s="397" t="s">
        <v>189</v>
      </c>
      <c r="B6" s="135" t="s">
        <v>201</v>
      </c>
      <c r="C6" s="135" t="s">
        <v>406</v>
      </c>
      <c r="D6" s="135" t="s">
        <v>345</v>
      </c>
      <c r="E6" s="135" t="s">
        <v>346</v>
      </c>
      <c r="F6" s="135" t="s">
        <v>407</v>
      </c>
      <c r="G6" s="135" t="s">
        <v>326</v>
      </c>
      <c r="H6" s="135" t="s">
        <v>209</v>
      </c>
      <c r="I6" s="135" t="s">
        <v>210</v>
      </c>
      <c r="J6" s="136" t="s">
        <v>330</v>
      </c>
      <c r="K6" s="136" t="s">
        <v>408</v>
      </c>
      <c r="L6" s="508" t="s">
        <v>496</v>
      </c>
      <c r="M6" s="135" t="s">
        <v>409</v>
      </c>
      <c r="O6" s="418"/>
    </row>
    <row r="7" spans="1:15" s="137" customFormat="1" ht="13.2">
      <c r="A7" s="397"/>
      <c r="B7" s="135"/>
      <c r="C7" s="128" t="s">
        <v>241</v>
      </c>
      <c r="D7" s="356" t="s">
        <v>242</v>
      </c>
      <c r="E7" s="356" t="s">
        <v>243</v>
      </c>
      <c r="F7" s="357" t="s">
        <v>244</v>
      </c>
      <c r="G7" s="357" t="s">
        <v>246</v>
      </c>
      <c r="H7" s="357" t="s">
        <v>245</v>
      </c>
      <c r="I7" s="358" t="s">
        <v>247</v>
      </c>
      <c r="J7" s="358" t="s">
        <v>248</v>
      </c>
      <c r="K7" s="358" t="s">
        <v>249</v>
      </c>
      <c r="L7" s="304" t="s">
        <v>344</v>
      </c>
      <c r="M7" s="304" t="s">
        <v>348</v>
      </c>
      <c r="O7" s="418"/>
    </row>
    <row r="8" spans="1:15" ht="25.5" customHeight="1">
      <c r="A8" s="360"/>
      <c r="B8" s="505" t="s">
        <v>500</v>
      </c>
      <c r="C8" s="128">
        <v>1</v>
      </c>
      <c r="D8" s="128">
        <v>2</v>
      </c>
      <c r="E8" s="128">
        <v>3</v>
      </c>
      <c r="F8" s="128">
        <v>4</v>
      </c>
      <c r="G8" s="128">
        <v>5</v>
      </c>
      <c r="H8" s="129">
        <v>6</v>
      </c>
      <c r="I8" s="128">
        <v>7</v>
      </c>
      <c r="J8" s="129">
        <v>9</v>
      </c>
      <c r="K8" s="129">
        <v>11</v>
      </c>
      <c r="L8" s="129">
        <v>12</v>
      </c>
      <c r="M8" s="128">
        <v>16</v>
      </c>
      <c r="O8" s="419"/>
    </row>
    <row r="9" spans="1:15" s="17" customFormat="1" ht="24.75" customHeight="1">
      <c r="A9" s="360"/>
      <c r="B9" s="131" t="s">
        <v>622</v>
      </c>
      <c r="C9" s="304" t="s">
        <v>623</v>
      </c>
      <c r="D9" s="304" t="s">
        <v>624</v>
      </c>
      <c r="E9" s="304" t="s">
        <v>625</v>
      </c>
      <c r="F9" s="304" t="s">
        <v>626</v>
      </c>
      <c r="G9" s="543" t="s">
        <v>627</v>
      </c>
      <c r="H9" s="543" t="str">
        <f>+G9</f>
        <v>(Note E)</v>
      </c>
      <c r="I9" s="543" t="str">
        <f>+H9</f>
        <v>(Note E)</v>
      </c>
      <c r="J9" s="543" t="s">
        <v>628</v>
      </c>
      <c r="K9" s="543" t="s">
        <v>629</v>
      </c>
      <c r="L9" s="543" t="s">
        <v>630</v>
      </c>
      <c r="M9" s="304" t="s">
        <v>631</v>
      </c>
      <c r="O9" s="420"/>
    </row>
    <row r="10" spans="1:15" s="17" customFormat="1" ht="13.2">
      <c r="A10" s="360"/>
      <c r="B10" s="131"/>
      <c r="O10" s="420"/>
    </row>
    <row r="11" spans="1:15" ht="13.2">
      <c r="A11" s="360"/>
      <c r="B11" s="138"/>
      <c r="C11" s="128"/>
      <c r="D11" s="128"/>
      <c r="E11" s="128"/>
      <c r="F11" s="128"/>
      <c r="G11" s="128"/>
      <c r="H11" s="129"/>
      <c r="I11" s="128"/>
      <c r="J11" s="129"/>
      <c r="K11" s="129"/>
      <c r="L11" s="129"/>
      <c r="M11" s="128"/>
      <c r="O11" s="419"/>
    </row>
    <row r="12" spans="1:15" ht="13.2">
      <c r="A12" s="360" t="s">
        <v>332</v>
      </c>
      <c r="B12" s="127" t="s">
        <v>101</v>
      </c>
      <c r="C12" s="515">
        <v>1486.29</v>
      </c>
      <c r="D12" s="514">
        <v>0</v>
      </c>
      <c r="E12" s="514">
        <v>0</v>
      </c>
      <c r="F12" s="514">
        <v>28576.03</v>
      </c>
      <c r="G12" s="514">
        <v>0</v>
      </c>
      <c r="H12" s="514">
        <v>0</v>
      </c>
      <c r="I12" s="514">
        <v>0</v>
      </c>
      <c r="J12" s="514">
        <v>0</v>
      </c>
      <c r="K12" s="514">
        <v>0</v>
      </c>
      <c r="L12" s="514">
        <v>0</v>
      </c>
      <c r="M12" s="514">
        <v>4842.1582551666661</v>
      </c>
      <c r="O12" s="421"/>
    </row>
    <row r="13" spans="1:15" ht="13.2">
      <c r="A13" s="360" t="s">
        <v>199</v>
      </c>
      <c r="B13" s="127" t="s">
        <v>100</v>
      </c>
      <c r="C13" s="515">
        <v>2656.03</v>
      </c>
      <c r="D13" s="514">
        <v>0</v>
      </c>
      <c r="E13" s="514">
        <v>0</v>
      </c>
      <c r="F13" s="514">
        <v>36040.68</v>
      </c>
      <c r="G13" s="514">
        <v>0</v>
      </c>
      <c r="H13" s="514">
        <v>0</v>
      </c>
      <c r="I13" s="514">
        <v>0</v>
      </c>
      <c r="J13" s="514">
        <v>0</v>
      </c>
      <c r="K13" s="514">
        <v>0</v>
      </c>
      <c r="L13" s="514">
        <v>0</v>
      </c>
      <c r="M13" s="514">
        <v>4842.1582551666661</v>
      </c>
      <c r="O13" s="421"/>
    </row>
    <row r="14" spans="1:15" ht="13.2">
      <c r="A14" s="360" t="s">
        <v>333</v>
      </c>
      <c r="B14" s="127" t="s">
        <v>99</v>
      </c>
      <c r="C14" s="515">
        <v>456.61</v>
      </c>
      <c r="D14" s="514">
        <v>0</v>
      </c>
      <c r="E14" s="514">
        <v>0</v>
      </c>
      <c r="F14" s="514">
        <v>94853.140000000014</v>
      </c>
      <c r="G14" s="514">
        <v>0</v>
      </c>
      <c r="H14" s="514">
        <v>0</v>
      </c>
      <c r="I14" s="514">
        <v>0</v>
      </c>
      <c r="J14" s="514">
        <v>0</v>
      </c>
      <c r="K14" s="514">
        <v>0</v>
      </c>
      <c r="L14" s="514">
        <v>0</v>
      </c>
      <c r="M14" s="514">
        <v>4842.1582551666661</v>
      </c>
      <c r="O14" s="421"/>
    </row>
    <row r="15" spans="1:15" ht="13.2">
      <c r="A15" s="360" t="s">
        <v>331</v>
      </c>
      <c r="B15" s="127" t="s">
        <v>91</v>
      </c>
      <c r="C15" s="515">
        <v>17377.896666666667</v>
      </c>
      <c r="D15" s="514">
        <v>0</v>
      </c>
      <c r="E15" s="514">
        <v>0</v>
      </c>
      <c r="F15" s="514">
        <v>12663.236942222222</v>
      </c>
      <c r="G15" s="514">
        <v>0</v>
      </c>
      <c r="H15" s="514">
        <v>0</v>
      </c>
      <c r="I15" s="514">
        <v>0</v>
      </c>
      <c r="J15" s="514">
        <v>0</v>
      </c>
      <c r="K15" s="514">
        <v>0</v>
      </c>
      <c r="L15" s="514">
        <v>0</v>
      </c>
      <c r="M15" s="514">
        <v>4842.1582551666661</v>
      </c>
      <c r="O15" s="421"/>
    </row>
    <row r="16" spans="1:15" ht="13.2">
      <c r="A16" s="360" t="s">
        <v>166</v>
      </c>
      <c r="B16" s="127" t="s">
        <v>90</v>
      </c>
      <c r="C16" s="515">
        <v>17377.896666666667</v>
      </c>
      <c r="D16" s="514">
        <v>0</v>
      </c>
      <c r="E16" s="514">
        <v>0</v>
      </c>
      <c r="F16" s="514">
        <v>12663.236942222222</v>
      </c>
      <c r="G16" s="514">
        <v>0</v>
      </c>
      <c r="H16" s="514">
        <v>0</v>
      </c>
      <c r="I16" s="514">
        <v>0</v>
      </c>
      <c r="J16" s="514">
        <v>0</v>
      </c>
      <c r="K16" s="514">
        <v>0</v>
      </c>
      <c r="L16" s="514">
        <v>0</v>
      </c>
      <c r="M16" s="514">
        <v>4842.1582551666661</v>
      </c>
      <c r="O16" s="421"/>
    </row>
    <row r="17" spans="1:15" ht="13.2">
      <c r="A17" s="360" t="s">
        <v>167</v>
      </c>
      <c r="B17" s="127" t="s">
        <v>111</v>
      </c>
      <c r="C17" s="515">
        <v>17377.896666666667</v>
      </c>
      <c r="D17" s="514">
        <v>0</v>
      </c>
      <c r="E17" s="514">
        <v>0</v>
      </c>
      <c r="F17" s="514">
        <v>12663.236942222222</v>
      </c>
      <c r="G17" s="514">
        <v>0</v>
      </c>
      <c r="H17" s="514">
        <v>0</v>
      </c>
      <c r="I17" s="514">
        <v>0</v>
      </c>
      <c r="J17" s="514">
        <v>0</v>
      </c>
      <c r="K17" s="514">
        <v>0</v>
      </c>
      <c r="L17" s="514">
        <v>0</v>
      </c>
      <c r="M17" s="514">
        <v>4842.1582551666661</v>
      </c>
      <c r="O17" s="421"/>
    </row>
    <row r="18" spans="1:15" ht="13.2">
      <c r="A18" s="360" t="s">
        <v>170</v>
      </c>
      <c r="B18" s="127" t="s">
        <v>98</v>
      </c>
      <c r="C18" s="515">
        <v>17377.896666666667</v>
      </c>
      <c r="D18" s="514">
        <v>0</v>
      </c>
      <c r="E18" s="514">
        <v>0</v>
      </c>
      <c r="F18" s="514">
        <v>12663.236942222222</v>
      </c>
      <c r="G18" s="514">
        <v>0</v>
      </c>
      <c r="H18" s="514">
        <v>0</v>
      </c>
      <c r="I18" s="514">
        <v>0</v>
      </c>
      <c r="J18" s="514">
        <v>0</v>
      </c>
      <c r="K18" s="514">
        <v>0</v>
      </c>
      <c r="L18" s="514">
        <v>0</v>
      </c>
      <c r="M18" s="514">
        <v>4842.1582551666661</v>
      </c>
      <c r="O18" s="421"/>
    </row>
    <row r="19" spans="1:15" ht="13.2">
      <c r="A19" s="360" t="s">
        <v>172</v>
      </c>
      <c r="B19" s="127" t="s">
        <v>97</v>
      </c>
      <c r="C19" s="515">
        <v>17377.896666666667</v>
      </c>
      <c r="D19" s="514">
        <v>0</v>
      </c>
      <c r="E19" s="514">
        <v>0</v>
      </c>
      <c r="F19" s="514">
        <v>12663.236942222222</v>
      </c>
      <c r="G19" s="514">
        <v>0</v>
      </c>
      <c r="H19" s="514">
        <v>0</v>
      </c>
      <c r="I19" s="514">
        <v>0</v>
      </c>
      <c r="J19" s="514">
        <v>0</v>
      </c>
      <c r="K19" s="514">
        <v>0</v>
      </c>
      <c r="L19" s="514">
        <v>0</v>
      </c>
      <c r="M19" s="514">
        <v>4842.1582551666661</v>
      </c>
      <c r="O19" s="421"/>
    </row>
    <row r="20" spans="1:15" ht="13.2">
      <c r="A20" s="360" t="s">
        <v>175</v>
      </c>
      <c r="B20" s="127" t="s">
        <v>96</v>
      </c>
      <c r="C20" s="515">
        <v>17377.896666666667</v>
      </c>
      <c r="D20" s="514">
        <v>0</v>
      </c>
      <c r="E20" s="514">
        <v>0</v>
      </c>
      <c r="F20" s="514">
        <v>12663.236942222222</v>
      </c>
      <c r="G20" s="514">
        <v>0</v>
      </c>
      <c r="H20" s="514">
        <v>0</v>
      </c>
      <c r="I20" s="514">
        <v>0</v>
      </c>
      <c r="J20" s="514">
        <v>0</v>
      </c>
      <c r="K20" s="514">
        <v>0</v>
      </c>
      <c r="L20" s="514">
        <v>0</v>
      </c>
      <c r="M20" s="514">
        <v>4842.1582551666661</v>
      </c>
      <c r="O20" s="421"/>
    </row>
    <row r="21" spans="1:15" ht="13.2">
      <c r="A21" s="360" t="s">
        <v>178</v>
      </c>
      <c r="B21" s="127" t="s">
        <v>102</v>
      </c>
      <c r="C21" s="515">
        <v>17377.896666666667</v>
      </c>
      <c r="D21" s="514">
        <v>0</v>
      </c>
      <c r="E21" s="514">
        <v>0</v>
      </c>
      <c r="F21" s="514">
        <v>12663.236942222222</v>
      </c>
      <c r="G21" s="514">
        <v>0</v>
      </c>
      <c r="H21" s="514">
        <v>0</v>
      </c>
      <c r="I21" s="514">
        <v>0</v>
      </c>
      <c r="J21" s="514">
        <v>0</v>
      </c>
      <c r="K21" s="514">
        <v>0</v>
      </c>
      <c r="L21" s="514">
        <v>0</v>
      </c>
      <c r="M21" s="514">
        <v>4842.1582551666661</v>
      </c>
      <c r="O21" s="421"/>
    </row>
    <row r="22" spans="1:15" ht="13.2">
      <c r="A22" s="360" t="s">
        <v>179</v>
      </c>
      <c r="B22" s="127" t="s">
        <v>95</v>
      </c>
      <c r="C22" s="515">
        <v>17377.896666666667</v>
      </c>
      <c r="D22" s="514">
        <v>0</v>
      </c>
      <c r="E22" s="514">
        <v>0</v>
      </c>
      <c r="F22" s="514">
        <v>12663.236942222222</v>
      </c>
      <c r="G22" s="514">
        <v>0</v>
      </c>
      <c r="H22" s="514">
        <v>0</v>
      </c>
      <c r="I22" s="514">
        <v>0</v>
      </c>
      <c r="J22" s="514">
        <v>0</v>
      </c>
      <c r="K22" s="514">
        <v>0</v>
      </c>
      <c r="L22" s="514">
        <v>0</v>
      </c>
      <c r="M22" s="514">
        <v>4842.1582551666661</v>
      </c>
      <c r="O22" s="421"/>
    </row>
    <row r="23" spans="1:15" ht="13.2">
      <c r="A23" s="360" t="s">
        <v>181</v>
      </c>
      <c r="B23" s="127" t="s">
        <v>94</v>
      </c>
      <c r="C23" s="515">
        <v>17377.896666666667</v>
      </c>
      <c r="D23" s="514">
        <v>0</v>
      </c>
      <c r="E23" s="514">
        <v>0</v>
      </c>
      <c r="F23" s="514">
        <v>12663.236942222222</v>
      </c>
      <c r="G23" s="514">
        <v>0</v>
      </c>
      <c r="H23" s="514">
        <v>0</v>
      </c>
      <c r="I23" s="514">
        <v>0</v>
      </c>
      <c r="J23" s="514">
        <v>0</v>
      </c>
      <c r="K23" s="514">
        <v>0</v>
      </c>
      <c r="L23" s="514">
        <v>0</v>
      </c>
      <c r="M23" s="514">
        <v>4842.1582551666661</v>
      </c>
      <c r="O23" s="421"/>
    </row>
    <row r="24" spans="1:15" ht="13.2">
      <c r="A24" s="360" t="s">
        <v>183</v>
      </c>
      <c r="B24" s="130" t="s">
        <v>19</v>
      </c>
      <c r="C24" s="134">
        <f t="shared" si="0" ref="C24:M24">SUM(C12:C23)</f>
        <v>161000</v>
      </c>
      <c r="D24" s="134">
        <f>SUM(D12:D23)</f>
        <v>0</v>
      </c>
      <c r="E24" s="134">
        <f>SUM(E12:E23)</f>
        <v>0</v>
      </c>
      <c r="F24" s="134">
        <f>SUM(F12:F23)</f>
        <v>273438.98248000001</v>
      </c>
      <c r="G24" s="134">
        <f>SUM(G12:G23)</f>
        <v>0</v>
      </c>
      <c r="H24" s="134">
        <f>SUM(H12:H23)</f>
        <v>0</v>
      </c>
      <c r="I24" s="134">
        <f>SUM(I12:I23)</f>
        <v>0</v>
      </c>
      <c r="J24" s="134">
        <f>SUM(J12:J23)</f>
        <v>0</v>
      </c>
      <c r="K24" s="134">
        <f>SUM(K12:K23)</f>
        <v>0</v>
      </c>
      <c r="L24" s="134">
        <f>SUM(L12:L23)</f>
        <v>0</v>
      </c>
      <c r="M24" s="134">
        <f>SUM(M12:M23)</f>
        <v>58105.89906199999</v>
      </c>
      <c r="O24" s="422"/>
    </row>
    <row r="25" spans="1:15" ht="13.2">
      <c r="A25" s="360"/>
      <c r="B25" s="127"/>
      <c r="C25" s="679"/>
      <c r="D25" s="127"/>
      <c r="E25" s="127"/>
      <c r="F25" s="679"/>
      <c r="G25" s="127"/>
      <c r="H25" s="127"/>
      <c r="I25" s="127"/>
      <c r="J25" s="127"/>
      <c r="N25" s="127"/>
      <c r="O25" s="423"/>
    </row>
    <row r="26" spans="1:15" ht="13.2">
      <c r="A26" s="360"/>
      <c r="B26" s="127"/>
      <c r="C26" s="127"/>
      <c r="D26" s="127"/>
      <c r="E26" s="127"/>
      <c r="F26" s="127"/>
      <c r="G26" s="127"/>
      <c r="H26" s="127"/>
      <c r="I26" s="127"/>
      <c r="J26" s="127"/>
      <c r="N26" s="127"/>
      <c r="O26" s="423"/>
    </row>
    <row r="27" spans="1:15" ht="39.6">
      <c r="A27" s="360"/>
      <c r="C27" s="135" t="s">
        <v>410</v>
      </c>
      <c r="D27" s="137" t="s">
        <v>347</v>
      </c>
      <c r="E27" s="135" t="s">
        <v>411</v>
      </c>
      <c r="F27" s="137" t="s">
        <v>327</v>
      </c>
      <c r="G27" s="137" t="s">
        <v>412</v>
      </c>
      <c r="H27" s="135" t="s">
        <v>328</v>
      </c>
      <c r="I27" s="135" t="s">
        <v>413</v>
      </c>
      <c r="J27" s="135" t="s">
        <v>329</v>
      </c>
      <c r="K27" s="135" t="s">
        <v>213</v>
      </c>
      <c r="L27" s="135" t="s">
        <v>212</v>
      </c>
      <c r="M27" s="135" t="s">
        <v>417</v>
      </c>
      <c r="N27" s="127"/>
      <c r="O27" s="424"/>
    </row>
    <row r="28" spans="1:15" s="511" customFormat="1" ht="13.2">
      <c r="A28" s="360"/>
      <c r="C28" s="128" t="s">
        <v>241</v>
      </c>
      <c r="D28" s="356" t="s">
        <v>242</v>
      </c>
      <c r="E28" s="356" t="s">
        <v>243</v>
      </c>
      <c r="F28" s="357" t="s">
        <v>244</v>
      </c>
      <c r="G28" s="357" t="s">
        <v>246</v>
      </c>
      <c r="H28" s="357" t="s">
        <v>245</v>
      </c>
      <c r="I28" s="357" t="s">
        <v>247</v>
      </c>
      <c r="J28" s="358" t="s">
        <v>248</v>
      </c>
      <c r="K28" s="358" t="s">
        <v>249</v>
      </c>
      <c r="L28" s="304" t="s">
        <v>344</v>
      </c>
      <c r="M28" s="304" t="s">
        <v>348</v>
      </c>
      <c r="N28" s="127"/>
      <c r="O28" s="424"/>
    </row>
    <row r="29" spans="1:15" ht="13.2">
      <c r="A29" s="360"/>
      <c r="B29" s="140" t="s">
        <v>446</v>
      </c>
      <c r="C29" s="128">
        <v>17</v>
      </c>
      <c r="D29" s="360">
        <v>19</v>
      </c>
      <c r="E29" s="129">
        <v>23</v>
      </c>
      <c r="F29" s="129">
        <v>24</v>
      </c>
      <c r="G29" s="129">
        <v>26</v>
      </c>
      <c r="H29" s="129">
        <v>27</v>
      </c>
      <c r="I29" s="129">
        <v>28</v>
      </c>
      <c r="J29" s="129">
        <v>29</v>
      </c>
      <c r="K29" s="361">
        <v>37</v>
      </c>
      <c r="L29" s="129">
        <v>38</v>
      </c>
      <c r="M29" s="129">
        <v>39</v>
      </c>
      <c r="N29" s="127"/>
      <c r="O29" s="424"/>
    </row>
    <row r="30" spans="1:15" s="511" customFormat="1" ht="26.4">
      <c r="A30" s="360"/>
      <c r="B30" s="131" t="s">
        <v>622</v>
      </c>
      <c r="C30" s="543" t="s">
        <v>635</v>
      </c>
      <c r="D30" s="304" t="s">
        <v>632</v>
      </c>
      <c r="E30" s="304" t="s">
        <v>678</v>
      </c>
      <c r="F30" s="304" t="str">
        <f>+E30</f>
        <v>263.i</v>
      </c>
      <c r="G30" s="304" t="str">
        <f>+F30</f>
        <v>263.i</v>
      </c>
      <c r="H30" s="304" t="str">
        <f>+G30</f>
        <v>263.i</v>
      </c>
      <c r="I30" s="304" t="str">
        <f>+H30</f>
        <v>263.i</v>
      </c>
      <c r="J30" s="304" t="str">
        <f>+I30</f>
        <v>263.i</v>
      </c>
      <c r="K30" s="304" t="s">
        <v>633</v>
      </c>
      <c r="L30" s="304" t="s">
        <v>320</v>
      </c>
      <c r="M30" s="304" t="s">
        <v>634</v>
      </c>
      <c r="N30" s="127"/>
      <c r="O30" s="424"/>
    </row>
    <row r="31" spans="1:14" s="17" customFormat="1" ht="13.2">
      <c r="A31" s="360"/>
      <c r="B31" s="131"/>
      <c r="N31" s="304"/>
    </row>
    <row r="32" spans="1:14" ht="13.2">
      <c r="A32" s="360"/>
      <c r="C32" s="128"/>
      <c r="E32" s="128"/>
      <c r="F32" s="128"/>
      <c r="G32" s="128"/>
      <c r="H32" s="128"/>
      <c r="I32" s="128"/>
      <c r="J32" s="128"/>
      <c r="K32" s="128"/>
      <c r="L32" s="128"/>
      <c r="M32" s="128"/>
      <c r="N32" s="127"/>
    </row>
    <row r="33" spans="1:14" ht="13.2">
      <c r="A33" s="360" t="s">
        <v>186</v>
      </c>
      <c r="B33" s="127" t="s">
        <v>101</v>
      </c>
      <c r="C33" s="359">
        <v>0</v>
      </c>
      <c r="D33" s="359">
        <v>0</v>
      </c>
      <c r="E33" s="359">
        <v>0</v>
      </c>
      <c r="F33" s="359">
        <v>0</v>
      </c>
      <c r="G33" s="359">
        <v>119.27709225435264</v>
      </c>
      <c r="H33" s="359">
        <v>0</v>
      </c>
      <c r="I33" s="359">
        <v>0</v>
      </c>
      <c r="J33" s="359">
        <v>0</v>
      </c>
      <c r="K33" s="359">
        <v>0</v>
      </c>
      <c r="L33" s="359">
        <v>0</v>
      </c>
      <c r="M33" s="359">
        <v>-5713.7863977332927</v>
      </c>
      <c r="N33" s="127"/>
    </row>
    <row r="34" spans="1:14" ht="13.2">
      <c r="A34" s="360" t="s">
        <v>214</v>
      </c>
      <c r="B34" s="127" t="s">
        <v>100</v>
      </c>
      <c r="C34" s="359">
        <v>0</v>
      </c>
      <c r="D34" s="359">
        <v>0</v>
      </c>
      <c r="E34" s="359">
        <v>0</v>
      </c>
      <c r="F34" s="359">
        <v>0</v>
      </c>
      <c r="G34" s="359">
        <v>119.27709225435264</v>
      </c>
      <c r="H34" s="359">
        <v>0</v>
      </c>
      <c r="I34" s="359">
        <v>0</v>
      </c>
      <c r="J34" s="359">
        <v>0</v>
      </c>
      <c r="K34" s="359">
        <v>0</v>
      </c>
      <c r="L34" s="359">
        <v>0</v>
      </c>
      <c r="M34" s="359">
        <v>-5713.7863977332927</v>
      </c>
      <c r="N34" s="127"/>
    </row>
    <row r="35" spans="1:14" ht="13.2">
      <c r="A35" s="360" t="s">
        <v>215</v>
      </c>
      <c r="B35" s="127" t="s">
        <v>99</v>
      </c>
      <c r="C35" s="359">
        <v>0</v>
      </c>
      <c r="D35" s="359">
        <v>0</v>
      </c>
      <c r="E35" s="359">
        <v>0</v>
      </c>
      <c r="F35" s="359">
        <v>0</v>
      </c>
      <c r="G35" s="359">
        <v>119.27709225435264</v>
      </c>
      <c r="H35" s="359">
        <v>0</v>
      </c>
      <c r="I35" s="359">
        <v>0</v>
      </c>
      <c r="J35" s="359">
        <v>0</v>
      </c>
      <c r="K35" s="359">
        <v>0</v>
      </c>
      <c r="L35" s="359">
        <v>0</v>
      </c>
      <c r="M35" s="359">
        <v>-5713.7863977332927</v>
      </c>
      <c r="N35" s="127"/>
    </row>
    <row r="36" spans="1:14" ht="13.2">
      <c r="A36" s="360" t="s">
        <v>334</v>
      </c>
      <c r="B36" s="127" t="s">
        <v>91</v>
      </c>
      <c r="C36" s="359">
        <v>0</v>
      </c>
      <c r="D36" s="359">
        <v>0</v>
      </c>
      <c r="E36" s="359">
        <v>0</v>
      </c>
      <c r="F36" s="359">
        <v>0</v>
      </c>
      <c r="G36" s="359">
        <v>119.27709225435264</v>
      </c>
      <c r="H36" s="359">
        <v>0</v>
      </c>
      <c r="I36" s="359">
        <v>0</v>
      </c>
      <c r="J36" s="359">
        <v>0</v>
      </c>
      <c r="K36" s="359">
        <v>0</v>
      </c>
      <c r="L36" s="359">
        <v>0</v>
      </c>
      <c r="M36" s="359">
        <v>-5713.7863977332927</v>
      </c>
      <c r="N36" s="127"/>
    </row>
    <row r="37" spans="1:14" ht="13.2">
      <c r="A37" s="360" t="s">
        <v>335</v>
      </c>
      <c r="B37" s="127" t="s">
        <v>90</v>
      </c>
      <c r="C37" s="359">
        <v>0</v>
      </c>
      <c r="D37" s="359">
        <v>0</v>
      </c>
      <c r="E37" s="359">
        <v>0</v>
      </c>
      <c r="F37" s="359">
        <v>0</v>
      </c>
      <c r="G37" s="359">
        <v>119.27709225435264</v>
      </c>
      <c r="H37" s="359">
        <v>0</v>
      </c>
      <c r="I37" s="359">
        <v>0</v>
      </c>
      <c r="J37" s="359">
        <v>0</v>
      </c>
      <c r="K37" s="359">
        <v>0</v>
      </c>
      <c r="L37" s="359">
        <v>0</v>
      </c>
      <c r="M37" s="359">
        <v>-5713.7863977332927</v>
      </c>
      <c r="N37" s="127"/>
    </row>
    <row r="38" spans="1:14" ht="13.2">
      <c r="A38" s="360" t="s">
        <v>336</v>
      </c>
      <c r="B38" s="127" t="s">
        <v>111</v>
      </c>
      <c r="C38" s="359">
        <v>0</v>
      </c>
      <c r="D38" s="359">
        <v>0</v>
      </c>
      <c r="E38" s="359">
        <v>0</v>
      </c>
      <c r="F38" s="359">
        <v>0</v>
      </c>
      <c r="G38" s="359">
        <v>119.27709225435264</v>
      </c>
      <c r="H38" s="359">
        <v>0</v>
      </c>
      <c r="I38" s="359">
        <v>0</v>
      </c>
      <c r="J38" s="359">
        <v>0</v>
      </c>
      <c r="K38" s="359">
        <v>0</v>
      </c>
      <c r="L38" s="359">
        <v>0</v>
      </c>
      <c r="M38" s="359">
        <v>-5713.7863977332927</v>
      </c>
      <c r="N38" s="127"/>
    </row>
    <row r="39" spans="1:14" ht="13.2">
      <c r="A39" s="360" t="s">
        <v>337</v>
      </c>
      <c r="B39" s="127" t="s">
        <v>98</v>
      </c>
      <c r="C39" s="359">
        <v>0</v>
      </c>
      <c r="D39" s="359">
        <v>0</v>
      </c>
      <c r="E39" s="359">
        <v>0</v>
      </c>
      <c r="F39" s="514">
        <v>0</v>
      </c>
      <c r="G39" s="359">
        <v>119.27709225435264</v>
      </c>
      <c r="H39" s="359">
        <v>0</v>
      </c>
      <c r="I39" s="359">
        <v>0</v>
      </c>
      <c r="J39" s="359">
        <v>0</v>
      </c>
      <c r="K39" s="359">
        <v>0</v>
      </c>
      <c r="L39" s="359">
        <v>0</v>
      </c>
      <c r="M39" s="359">
        <v>-5713.7863977332927</v>
      </c>
      <c r="N39" s="127"/>
    </row>
    <row r="40" spans="1:14" ht="13.2">
      <c r="A40" s="360" t="s">
        <v>338</v>
      </c>
      <c r="B40" s="127" t="s">
        <v>97</v>
      </c>
      <c r="C40" s="359">
        <v>0</v>
      </c>
      <c r="D40" s="359">
        <v>0</v>
      </c>
      <c r="E40" s="359">
        <v>0</v>
      </c>
      <c r="F40" s="514">
        <v>0</v>
      </c>
      <c r="G40" s="359">
        <v>119.27709225435264</v>
      </c>
      <c r="H40" s="359">
        <v>0</v>
      </c>
      <c r="I40" s="359">
        <v>0</v>
      </c>
      <c r="J40" s="359">
        <v>0</v>
      </c>
      <c r="K40" s="359">
        <v>0</v>
      </c>
      <c r="L40" s="359">
        <v>0</v>
      </c>
      <c r="M40" s="359">
        <v>-5713.7863977332927</v>
      </c>
      <c r="N40" s="127"/>
    </row>
    <row r="41" spans="1:14" ht="13.2">
      <c r="A41" s="360" t="s">
        <v>339</v>
      </c>
      <c r="B41" s="127" t="s">
        <v>96</v>
      </c>
      <c r="C41" s="359">
        <v>0</v>
      </c>
      <c r="D41" s="359">
        <v>0</v>
      </c>
      <c r="E41" s="359">
        <v>0</v>
      </c>
      <c r="F41" s="514">
        <v>0</v>
      </c>
      <c r="G41" s="359">
        <v>119.27709225435264</v>
      </c>
      <c r="H41" s="359">
        <v>0</v>
      </c>
      <c r="I41" s="359">
        <v>0</v>
      </c>
      <c r="J41" s="359">
        <v>0</v>
      </c>
      <c r="K41" s="359">
        <v>0</v>
      </c>
      <c r="L41" s="359">
        <v>0</v>
      </c>
      <c r="M41" s="359">
        <v>-5713.7863977332927</v>
      </c>
      <c r="N41" s="127"/>
    </row>
    <row r="42" spans="1:14" ht="13.2">
      <c r="A42" s="360" t="s">
        <v>340</v>
      </c>
      <c r="B42" s="127" t="s">
        <v>102</v>
      </c>
      <c r="C42" s="359">
        <v>0</v>
      </c>
      <c r="D42" s="359">
        <v>0</v>
      </c>
      <c r="E42" s="359">
        <v>0</v>
      </c>
      <c r="F42" s="514">
        <v>0</v>
      </c>
      <c r="G42" s="359">
        <v>119.27709225435264</v>
      </c>
      <c r="H42" s="359">
        <v>0</v>
      </c>
      <c r="I42" s="359">
        <v>0</v>
      </c>
      <c r="J42" s="359">
        <v>0</v>
      </c>
      <c r="K42" s="359">
        <v>0</v>
      </c>
      <c r="L42" s="359">
        <v>0</v>
      </c>
      <c r="M42" s="359">
        <v>-5713.7863977332927</v>
      </c>
      <c r="N42" s="127"/>
    </row>
    <row r="43" spans="1:14" ht="13.2">
      <c r="A43" s="360" t="s">
        <v>341</v>
      </c>
      <c r="B43" s="127" t="s">
        <v>95</v>
      </c>
      <c r="C43" s="359">
        <v>0</v>
      </c>
      <c r="D43" s="359">
        <v>0</v>
      </c>
      <c r="E43" s="359">
        <v>0</v>
      </c>
      <c r="F43" s="514">
        <v>0</v>
      </c>
      <c r="G43" s="359">
        <v>119.27709225435264</v>
      </c>
      <c r="H43" s="359">
        <v>0</v>
      </c>
      <c r="I43" s="359">
        <v>0</v>
      </c>
      <c r="J43" s="359">
        <v>0</v>
      </c>
      <c r="K43" s="359">
        <v>0</v>
      </c>
      <c r="L43" s="359">
        <v>0</v>
      </c>
      <c r="M43" s="359">
        <v>-5713.7863977332927</v>
      </c>
      <c r="N43" s="127"/>
    </row>
    <row r="44" spans="1:14" ht="13.2">
      <c r="A44" s="360" t="s">
        <v>342</v>
      </c>
      <c r="B44" s="127" t="s">
        <v>94</v>
      </c>
      <c r="C44" s="359">
        <v>0</v>
      </c>
      <c r="D44" s="359">
        <v>0</v>
      </c>
      <c r="E44" s="359">
        <v>0</v>
      </c>
      <c r="F44" s="514">
        <v>0</v>
      </c>
      <c r="G44" s="359">
        <v>119.27709225435264</v>
      </c>
      <c r="H44" s="359">
        <v>0</v>
      </c>
      <c r="I44" s="359">
        <v>0</v>
      </c>
      <c r="J44" s="359">
        <v>0</v>
      </c>
      <c r="K44" s="359">
        <v>0</v>
      </c>
      <c r="L44" s="359">
        <v>0</v>
      </c>
      <c r="M44" s="359">
        <v>-5713.7863977332927</v>
      </c>
      <c r="N44" s="127"/>
    </row>
    <row r="45" spans="1:14" ht="13.2">
      <c r="A45" s="360" t="s">
        <v>343</v>
      </c>
      <c r="B45" s="130" t="s">
        <v>19</v>
      </c>
      <c r="C45" s="134">
        <f t="shared" si="1" ref="C45:M45">SUM(C33:C44)</f>
        <v>0</v>
      </c>
      <c r="D45" s="134">
        <f>SUM(D33:D44)</f>
        <v>0</v>
      </c>
      <c r="E45" s="134">
        <f>SUM(E33:E44)</f>
        <v>0</v>
      </c>
      <c r="F45" s="134">
        <f>SUM(F33:F44)</f>
        <v>0</v>
      </c>
      <c r="G45" s="134">
        <f>SUM(G33:G44)</f>
        <v>1431.3251070522319</v>
      </c>
      <c r="H45" s="134">
        <f>SUM(H33:H44)</f>
        <v>0</v>
      </c>
      <c r="I45" s="134">
        <f>SUM(I33:I44)</f>
        <v>0</v>
      </c>
      <c r="J45" s="134">
        <f>SUM(J33:J44)</f>
        <v>0</v>
      </c>
      <c r="K45" s="134">
        <f>SUM(K33:K44)</f>
        <v>0</v>
      </c>
      <c r="L45" s="134">
        <f>SUM(L33:L44)</f>
        <v>0</v>
      </c>
      <c r="M45" s="134">
        <f>SUM(M33:M44)</f>
        <v>-68565.436772799498</v>
      </c>
      <c r="N45" s="127"/>
    </row>
    <row r="46" spans="2:15" ht="13.2">
      <c r="B46" s="127"/>
      <c r="C46" s="127"/>
      <c r="D46" s="127"/>
      <c r="E46" s="127"/>
      <c r="F46" s="127"/>
      <c r="G46" s="128" t="s">
        <v>234</v>
      </c>
      <c r="H46" s="127"/>
      <c r="I46" s="127"/>
      <c r="J46" s="127"/>
      <c r="M46" s="306" t="s">
        <v>188</v>
      </c>
      <c r="N46" s="127"/>
      <c r="O46" s="139"/>
    </row>
    <row r="47" spans="1:15" s="564" customFormat="1" ht="13.2">
      <c r="A47" s="124"/>
      <c r="B47" s="127"/>
      <c r="C47" s="127"/>
      <c r="D47" s="127"/>
      <c r="E47" s="127"/>
      <c r="F47" s="127"/>
      <c r="G47" s="128" t="s">
        <v>621</v>
      </c>
      <c r="H47" s="127"/>
      <c r="I47" s="127"/>
      <c r="J47" s="127"/>
      <c r="N47" s="127"/>
      <c r="O47" s="139"/>
    </row>
    <row r="48" spans="1:15" s="564" customFormat="1" ht="13.2">
      <c r="A48" s="124"/>
      <c r="B48" s="127"/>
      <c r="C48" s="127"/>
      <c r="D48" s="127"/>
      <c r="E48" s="127"/>
      <c r="F48" s="127"/>
      <c r="G48" s="654" t="str">
        <f>'Attachment H'!$D$5</f>
        <v>NextEra Energy Transmission MidAtlantic Indiana, Inc.</v>
      </c>
      <c r="H48" s="127"/>
      <c r="I48" s="127"/>
      <c r="J48" s="127"/>
      <c r="N48" s="127"/>
      <c r="O48" s="139"/>
    </row>
    <row r="49" spans="1:15" s="564" customFormat="1" ht="13.2">
      <c r="A49" s="124"/>
      <c r="B49" s="127"/>
      <c r="C49" s="127"/>
      <c r="D49" s="127"/>
      <c r="E49" s="127"/>
      <c r="F49" s="127"/>
      <c r="G49" s="127"/>
      <c r="H49" s="127"/>
      <c r="I49" s="127"/>
      <c r="J49" s="127"/>
      <c r="N49" s="127"/>
      <c r="O49" s="139"/>
    </row>
    <row r="50" spans="2:15" ht="13.2">
      <c r="B50" s="127"/>
      <c r="C50" s="127"/>
      <c r="D50" s="127"/>
      <c r="E50" s="127"/>
      <c r="F50" s="127"/>
      <c r="G50" s="127"/>
      <c r="H50" s="127"/>
      <c r="I50" s="127"/>
      <c r="J50" s="127"/>
      <c r="N50" s="127"/>
      <c r="O50" s="139"/>
    </row>
    <row r="51" spans="2:15" ht="129" customHeight="1">
      <c r="B51" s="544"/>
      <c r="C51" s="545" t="s">
        <v>0</v>
      </c>
      <c r="D51" s="546" t="s">
        <v>264</v>
      </c>
      <c r="E51" s="546" t="s">
        <v>422</v>
      </c>
      <c r="F51" s="547" t="s">
        <v>423</v>
      </c>
      <c r="G51" s="548" t="s">
        <v>223</v>
      </c>
      <c r="H51" s="127"/>
      <c r="I51" s="127"/>
      <c r="J51" s="127"/>
      <c r="K51" s="511"/>
      <c r="L51" s="511"/>
      <c r="M51" s="511"/>
      <c r="N51" s="127"/>
      <c r="O51" s="127"/>
    </row>
    <row r="52" spans="2:15" ht="13.2">
      <c r="B52" s="511"/>
      <c r="C52" s="129" t="s">
        <v>241</v>
      </c>
      <c r="D52" s="378" t="s">
        <v>242</v>
      </c>
      <c r="E52" s="378" t="s">
        <v>243</v>
      </c>
      <c r="F52" s="379" t="s">
        <v>244</v>
      </c>
      <c r="G52" s="379" t="s">
        <v>246</v>
      </c>
      <c r="H52" s="127"/>
      <c r="I52" s="127"/>
      <c r="J52" s="127"/>
      <c r="K52" s="511"/>
      <c r="L52" s="511"/>
      <c r="M52" s="511"/>
      <c r="N52" s="127"/>
      <c r="O52" s="127"/>
    </row>
    <row r="53" spans="2:13" ht="26.4">
      <c r="B53" s="505" t="s">
        <v>501</v>
      </c>
      <c r="C53" s="129">
        <v>27</v>
      </c>
      <c r="D53" s="377" t="s">
        <v>424</v>
      </c>
      <c r="E53" s="129">
        <v>31</v>
      </c>
      <c r="F53" s="129">
        <v>32</v>
      </c>
      <c r="G53" s="361" t="s">
        <v>480</v>
      </c>
      <c r="H53" s="128"/>
      <c r="I53" s="128"/>
      <c r="J53" s="127"/>
      <c r="K53" s="511"/>
      <c r="L53" s="511"/>
      <c r="M53" s="511"/>
    </row>
    <row r="54" spans="2:13" ht="26.4">
      <c r="B54" s="131"/>
      <c r="C54" s="543" t="s">
        <v>636</v>
      </c>
      <c r="D54" s="304" t="s">
        <v>637</v>
      </c>
      <c r="E54" s="12" t="s">
        <v>638</v>
      </c>
      <c r="F54" s="511" t="str">
        <f>+E54</f>
        <v>Portion of Account 456.1</v>
      </c>
      <c r="G54" s="511"/>
      <c r="H54" s="128"/>
      <c r="I54" s="511"/>
      <c r="J54" s="511"/>
      <c r="K54" s="511"/>
      <c r="L54" s="128"/>
      <c r="M54" s="128"/>
    </row>
    <row r="55" spans="2:13" ht="13.2">
      <c r="B55" s="511"/>
      <c r="C55" s="128"/>
      <c r="D55" s="511"/>
      <c r="E55" s="128"/>
      <c r="F55" s="128"/>
      <c r="G55" s="128"/>
      <c r="H55" s="128"/>
      <c r="I55" s="36"/>
      <c r="J55" s="511"/>
      <c r="K55" s="511"/>
      <c r="L55" s="128"/>
      <c r="M55" s="128"/>
    </row>
    <row r="56" spans="1:13" ht="13.2">
      <c r="A56" s="376">
        <f>+A45+1</f>
        <v>27</v>
      </c>
      <c r="B56" s="127" t="s">
        <v>101</v>
      </c>
      <c r="C56" s="359">
        <v>0</v>
      </c>
      <c r="D56" s="359">
        <v>0</v>
      </c>
      <c r="E56" s="359">
        <v>0</v>
      </c>
      <c r="F56" s="359">
        <v>0</v>
      </c>
      <c r="G56" s="359">
        <v>0</v>
      </c>
      <c r="H56" s="127"/>
      <c r="I56" s="36"/>
      <c r="J56" s="511"/>
      <c r="K56" s="511"/>
      <c r="L56" s="127"/>
      <c r="M56" s="127"/>
    </row>
    <row r="57" spans="1:13" ht="13.2">
      <c r="A57" s="376">
        <f t="shared" si="2" ref="A57:A88">+A56+1</f>
        <v>28</v>
      </c>
      <c r="B57" s="127" t="s">
        <v>100</v>
      </c>
      <c r="C57" s="359">
        <v>0</v>
      </c>
      <c r="D57" s="359">
        <v>0</v>
      </c>
      <c r="E57" s="359">
        <v>0</v>
      </c>
      <c r="F57" s="359">
        <v>0</v>
      </c>
      <c r="G57" s="359">
        <v>0</v>
      </c>
      <c r="H57" s="127"/>
      <c r="I57" s="511"/>
      <c r="J57" s="511"/>
      <c r="K57" s="511"/>
      <c r="L57" s="127"/>
      <c r="M57" s="127"/>
    </row>
    <row r="58" spans="1:13" ht="13.2">
      <c r="A58" s="376">
        <f>+A57+1</f>
        <v>29</v>
      </c>
      <c r="B58" s="127" t="s">
        <v>99</v>
      </c>
      <c r="C58" s="359">
        <v>0</v>
      </c>
      <c r="D58" s="359">
        <v>0</v>
      </c>
      <c r="E58" s="359">
        <v>0</v>
      </c>
      <c r="F58" s="359">
        <v>0</v>
      </c>
      <c r="G58" s="359">
        <v>0</v>
      </c>
      <c r="H58" s="127"/>
      <c r="I58" s="36"/>
      <c r="J58" s="511"/>
      <c r="K58" s="511"/>
      <c r="L58" s="127"/>
      <c r="M58" s="127"/>
    </row>
    <row r="59" spans="1:13" ht="13.2">
      <c r="A59" s="376">
        <f>+A58+1</f>
        <v>30</v>
      </c>
      <c r="B59" s="127" t="s">
        <v>91</v>
      </c>
      <c r="C59" s="359">
        <v>0</v>
      </c>
      <c r="D59" s="359">
        <v>0</v>
      </c>
      <c r="E59" s="359">
        <v>0</v>
      </c>
      <c r="F59" s="359">
        <v>0</v>
      </c>
      <c r="G59" s="359">
        <v>0</v>
      </c>
      <c r="H59" s="127"/>
      <c r="I59" s="28"/>
      <c r="J59" s="511"/>
      <c r="K59" s="511"/>
      <c r="L59" s="127"/>
      <c r="M59" s="127"/>
    </row>
    <row r="60" spans="1:13" ht="13.2">
      <c r="A60" s="376">
        <f>+A59+1</f>
        <v>31</v>
      </c>
      <c r="B60" s="127" t="s">
        <v>90</v>
      </c>
      <c r="C60" s="359">
        <v>0</v>
      </c>
      <c r="D60" s="359">
        <v>0</v>
      </c>
      <c r="E60" s="359">
        <v>0</v>
      </c>
      <c r="F60" s="359">
        <v>0</v>
      </c>
      <c r="G60" s="359">
        <v>0</v>
      </c>
      <c r="H60" s="127"/>
      <c r="I60" s="511"/>
      <c r="J60" s="511"/>
      <c r="K60" s="511"/>
      <c r="L60" s="127"/>
      <c r="M60" s="127"/>
    </row>
    <row r="61" spans="1:13" ht="13.2">
      <c r="A61" s="376">
        <f>+A60+1</f>
        <v>32</v>
      </c>
      <c r="B61" s="127" t="s">
        <v>111</v>
      </c>
      <c r="C61" s="359">
        <v>0</v>
      </c>
      <c r="D61" s="359">
        <v>0</v>
      </c>
      <c r="E61" s="359">
        <v>0</v>
      </c>
      <c r="F61" s="359">
        <v>0</v>
      </c>
      <c r="G61" s="359">
        <v>0</v>
      </c>
      <c r="H61" s="127"/>
      <c r="I61" s="511"/>
      <c r="J61" s="511"/>
      <c r="K61" s="511"/>
      <c r="L61" s="127"/>
      <c r="M61" s="127"/>
    </row>
    <row r="62" spans="1:13" ht="13.2">
      <c r="A62" s="376">
        <f>+A61+1</f>
        <v>33</v>
      </c>
      <c r="B62" s="127" t="s">
        <v>98</v>
      </c>
      <c r="C62" s="359">
        <v>0</v>
      </c>
      <c r="D62" s="359">
        <v>0</v>
      </c>
      <c r="E62" s="359">
        <v>0</v>
      </c>
      <c r="F62" s="359">
        <v>0</v>
      </c>
      <c r="G62" s="359">
        <v>0</v>
      </c>
      <c r="H62" s="127"/>
      <c r="I62" s="511"/>
      <c r="J62" s="511"/>
      <c r="K62" s="511"/>
      <c r="L62" s="127"/>
      <c r="M62" s="127"/>
    </row>
    <row r="63" spans="1:13" ht="13.2">
      <c r="A63" s="376">
        <f>+A62+1</f>
        <v>34</v>
      </c>
      <c r="B63" s="127" t="s">
        <v>97</v>
      </c>
      <c r="C63" s="359">
        <v>0</v>
      </c>
      <c r="D63" s="359">
        <v>0</v>
      </c>
      <c r="E63" s="359">
        <v>0</v>
      </c>
      <c r="F63" s="359">
        <v>0</v>
      </c>
      <c r="G63" s="359">
        <v>0</v>
      </c>
      <c r="H63" s="127"/>
      <c r="I63" s="511"/>
      <c r="J63" s="511"/>
      <c r="K63" s="511"/>
      <c r="L63" s="127"/>
      <c r="M63" s="127"/>
    </row>
    <row r="64" spans="1:13" ht="13.2">
      <c r="A64" s="376">
        <f>+A63+1</f>
        <v>35</v>
      </c>
      <c r="B64" s="127" t="s">
        <v>96</v>
      </c>
      <c r="C64" s="359">
        <v>0</v>
      </c>
      <c r="D64" s="359">
        <v>0</v>
      </c>
      <c r="E64" s="359">
        <v>0</v>
      </c>
      <c r="F64" s="359">
        <v>0</v>
      </c>
      <c r="G64" s="359">
        <v>0</v>
      </c>
      <c r="H64" s="127"/>
      <c r="I64" s="511"/>
      <c r="J64" s="511"/>
      <c r="K64" s="511"/>
      <c r="L64" s="127"/>
      <c r="M64" s="127"/>
    </row>
    <row r="65" spans="1:13" ht="13.2">
      <c r="A65" s="376">
        <f>+A64+1</f>
        <v>36</v>
      </c>
      <c r="B65" s="127" t="s">
        <v>102</v>
      </c>
      <c r="C65" s="359">
        <v>0</v>
      </c>
      <c r="D65" s="359">
        <v>0</v>
      </c>
      <c r="E65" s="359">
        <v>0</v>
      </c>
      <c r="F65" s="359">
        <v>0</v>
      </c>
      <c r="G65" s="359">
        <v>0</v>
      </c>
      <c r="H65" s="127"/>
      <c r="I65" s="511"/>
      <c r="J65" s="511"/>
      <c r="K65" s="511"/>
      <c r="L65" s="127"/>
      <c r="M65" s="127"/>
    </row>
    <row r="66" spans="1:13" ht="13.2">
      <c r="A66" s="376">
        <f>+A65+1</f>
        <v>37</v>
      </c>
      <c r="B66" s="127" t="s">
        <v>95</v>
      </c>
      <c r="C66" s="359">
        <v>0</v>
      </c>
      <c r="D66" s="359">
        <v>0</v>
      </c>
      <c r="E66" s="359">
        <v>0</v>
      </c>
      <c r="F66" s="359">
        <v>0</v>
      </c>
      <c r="G66" s="359">
        <v>0</v>
      </c>
      <c r="H66" s="127"/>
      <c r="I66" s="511"/>
      <c r="J66" s="511"/>
      <c r="K66" s="511"/>
      <c r="L66" s="127"/>
      <c r="M66" s="127"/>
    </row>
    <row r="67" spans="1:15" ht="13.2">
      <c r="A67" s="376">
        <f>+A66+1</f>
        <v>38</v>
      </c>
      <c r="B67" s="127" t="s">
        <v>94</v>
      </c>
      <c r="C67" s="359">
        <v>0</v>
      </c>
      <c r="D67" s="359">
        <v>0</v>
      </c>
      <c r="E67" s="359">
        <v>0</v>
      </c>
      <c r="F67" s="359">
        <v>0</v>
      </c>
      <c r="G67" s="359">
        <v>0</v>
      </c>
      <c r="H67" s="127"/>
      <c r="I67" s="511"/>
      <c r="J67" s="511"/>
      <c r="K67" s="511"/>
      <c r="L67" s="127"/>
      <c r="M67" s="127"/>
      <c r="N67" s="127"/>
      <c r="O67" s="127"/>
    </row>
    <row r="68" spans="1:15" ht="13.2">
      <c r="A68" s="376">
        <f>+A67+1</f>
        <v>39</v>
      </c>
      <c r="B68" s="130" t="s">
        <v>19</v>
      </c>
      <c r="C68" s="134">
        <f>SUM(C56:C67)</f>
        <v>0</v>
      </c>
      <c r="D68" s="134">
        <f>SUM(D56:D67)</f>
        <v>0</v>
      </c>
      <c r="E68" s="134">
        <f>SUM(E56:E67)</f>
        <v>0</v>
      </c>
      <c r="F68" s="134">
        <f>SUM(F56:F67)</f>
        <v>0</v>
      </c>
      <c r="G68" s="134">
        <f>SUM(G56:G67)</f>
        <v>0</v>
      </c>
      <c r="H68" s="127"/>
      <c r="I68" s="127"/>
      <c r="J68" s="127"/>
      <c r="K68" s="511"/>
      <c r="L68" s="511"/>
      <c r="M68" s="511"/>
      <c r="N68" s="127"/>
      <c r="O68" s="127"/>
    </row>
    <row r="69" spans="1:15" ht="13.2">
      <c r="A69" s="376">
        <f>+A68+1</f>
        <v>40</v>
      </c>
      <c r="B69" s="127"/>
      <c r="C69" s="127"/>
      <c r="D69" s="127"/>
      <c r="E69" s="127"/>
      <c r="F69" s="127"/>
      <c r="G69" s="127"/>
      <c r="H69" s="127"/>
      <c r="I69" s="127"/>
      <c r="J69" s="127"/>
      <c r="K69" s="511"/>
      <c r="L69" s="511"/>
      <c r="M69" s="511"/>
      <c r="N69" s="127"/>
      <c r="O69" s="127"/>
    </row>
    <row r="70" spans="1:15" ht="13.2">
      <c r="A70" s="376">
        <f>+A69+1</f>
        <v>41</v>
      </c>
      <c r="B70" s="28" t="s">
        <v>64</v>
      </c>
      <c r="C70" s="29"/>
      <c r="D70" s="511"/>
      <c r="E70" s="511"/>
      <c r="F70" s="29"/>
      <c r="G70" s="29"/>
      <c r="H70" s="29"/>
      <c r="I70" s="29"/>
      <c r="J70" s="37"/>
      <c r="K70" s="401"/>
      <c r="L70" s="37"/>
      <c r="M70" s="511"/>
      <c r="N70" s="127"/>
      <c r="O70" s="127"/>
    </row>
    <row r="71" spans="1:15" ht="24" customHeight="1">
      <c r="A71" s="376"/>
      <c r="B71" s="28" t="s">
        <v>639</v>
      </c>
      <c r="C71" s="29"/>
      <c r="D71" s="511"/>
      <c r="E71" s="511"/>
      <c r="F71" s="29"/>
      <c r="G71" s="29"/>
      <c r="H71" s="29"/>
      <c r="I71" s="29"/>
      <c r="J71" s="29"/>
      <c r="K71" s="402"/>
      <c r="L71" s="29"/>
      <c r="M71" s="511"/>
      <c r="N71" s="127"/>
      <c r="O71" s="127"/>
    </row>
    <row r="72" spans="1:15" ht="16.2" thickBot="1">
      <c r="A72" s="376"/>
      <c r="B72" s="28"/>
      <c r="C72" s="29"/>
      <c r="D72" s="403"/>
      <c r="E72" s="403"/>
      <c r="F72" s="403"/>
      <c r="G72" s="403"/>
      <c r="H72" s="403"/>
      <c r="I72" s="403"/>
      <c r="J72" s="404" t="s">
        <v>56</v>
      </c>
      <c r="K72" s="402"/>
      <c r="L72" s="29"/>
      <c r="M72" s="511"/>
      <c r="N72" s="133"/>
      <c r="O72" s="133"/>
    </row>
    <row r="73" spans="1:15" ht="15.6">
      <c r="A73" s="376">
        <f>+A70+1</f>
        <v>42</v>
      </c>
      <c r="B73" s="28"/>
      <c r="C73" s="29"/>
      <c r="D73" s="403" t="s">
        <v>839</v>
      </c>
      <c r="E73" s="403"/>
      <c r="F73" s="403"/>
      <c r="G73" s="403"/>
      <c r="H73" s="403"/>
      <c r="I73" s="403"/>
      <c r="J73" s="432">
        <v>0</v>
      </c>
      <c r="K73" s="511"/>
      <c r="L73" s="511"/>
      <c r="M73" s="511"/>
      <c r="N73" s="127"/>
      <c r="O73" s="127"/>
    </row>
    <row r="74" spans="1:15" ht="15.6">
      <c r="A74" s="376"/>
      <c r="B74" s="28"/>
      <c r="C74" s="29"/>
      <c r="D74" s="403"/>
      <c r="E74" s="403"/>
      <c r="F74" s="403"/>
      <c r="G74" s="403"/>
      <c r="H74" s="403"/>
      <c r="I74" s="403"/>
      <c r="J74" s="380"/>
      <c r="K74" s="511"/>
      <c r="L74" s="511"/>
      <c r="M74" s="511"/>
      <c r="N74" s="127"/>
      <c r="O74" s="127"/>
    </row>
    <row r="75" spans="1:15" ht="15.6">
      <c r="A75" s="376">
        <f>+A73+1</f>
        <v>43</v>
      </c>
      <c r="B75" s="28"/>
      <c r="C75" s="29"/>
      <c r="D75" s="403" t="s">
        <v>450</v>
      </c>
      <c r="E75" s="403"/>
      <c r="F75" s="403"/>
      <c r="G75" s="403"/>
      <c r="H75" s="403"/>
      <c r="I75" s="405"/>
      <c r="J75" s="432">
        <v>0</v>
      </c>
      <c r="K75" s="511"/>
      <c r="L75" s="511"/>
      <c r="M75" s="511"/>
      <c r="N75" s="127"/>
      <c r="O75" s="127"/>
    </row>
    <row r="76" spans="1:13" ht="15.6">
      <c r="A76" s="376"/>
      <c r="B76" s="28"/>
      <c r="C76" s="29"/>
      <c r="D76" s="403"/>
      <c r="E76" s="403"/>
      <c r="F76" s="403"/>
      <c r="G76" s="403"/>
      <c r="H76" s="403"/>
      <c r="I76" s="403"/>
      <c r="J76" s="380"/>
      <c r="K76" s="511"/>
      <c r="L76" s="511"/>
      <c r="M76" s="511"/>
    </row>
    <row r="77" spans="1:13" ht="15.6">
      <c r="A77" s="376">
        <f>+A75+1</f>
        <v>44</v>
      </c>
      <c r="B77" s="28"/>
      <c r="C77" s="29"/>
      <c r="D77" s="403" t="s">
        <v>451</v>
      </c>
      <c r="E77" s="406"/>
      <c r="F77" s="403"/>
      <c r="G77" s="403"/>
      <c r="H77" s="403"/>
      <c r="I77" s="403"/>
      <c r="J77" s="432">
        <v>0</v>
      </c>
      <c r="K77" s="511"/>
      <c r="L77" s="511"/>
      <c r="M77" s="511"/>
    </row>
    <row r="78" spans="1:13" ht="15.6">
      <c r="A78" s="376">
        <f>+A77+1</f>
        <v>45</v>
      </c>
      <c r="B78" s="28"/>
      <c r="C78" s="29"/>
      <c r="D78" s="403" t="s">
        <v>482</v>
      </c>
      <c r="E78" s="403"/>
      <c r="F78" s="403"/>
      <c r="G78" s="403"/>
      <c r="H78" s="403"/>
      <c r="I78" s="403"/>
      <c r="J78" s="433">
        <v>0</v>
      </c>
      <c r="K78" s="511"/>
      <c r="L78" s="511"/>
      <c r="M78" s="511"/>
    </row>
    <row r="79" spans="1:13" ht="16.2" thickBot="1">
      <c r="A79" s="376">
        <f>+A78+1</f>
        <v>46</v>
      </c>
      <c r="B79" s="28"/>
      <c r="C79" s="29"/>
      <c r="D79" s="403" t="s">
        <v>452</v>
      </c>
      <c r="E79" s="403"/>
      <c r="F79" s="403"/>
      <c r="G79" s="403"/>
      <c r="H79" s="403"/>
      <c r="I79" s="403"/>
      <c r="J79" s="434">
        <v>0</v>
      </c>
      <c r="K79" s="511"/>
      <c r="L79" s="511"/>
      <c r="M79" s="511"/>
    </row>
    <row r="80" spans="1:13" ht="15.6">
      <c r="A80" s="376">
        <f>+A79+1</f>
        <v>47</v>
      </c>
      <c r="B80" s="28"/>
      <c r="C80" s="29"/>
      <c r="D80" s="403" t="s">
        <v>453</v>
      </c>
      <c r="E80" s="406" t="s">
        <v>679</v>
      </c>
      <c r="F80" s="406"/>
      <c r="G80" s="406"/>
      <c r="H80" s="407"/>
      <c r="I80" s="406"/>
      <c r="J80" s="380">
        <f>+J77-J78-J79</f>
        <v>0</v>
      </c>
      <c r="K80" s="511"/>
      <c r="L80" s="511"/>
      <c r="M80" s="511"/>
    </row>
    <row r="81" spans="1:13" ht="13.2">
      <c r="A81" s="376"/>
      <c r="B81" s="28"/>
      <c r="C81" s="29"/>
      <c r="D81" s="511"/>
      <c r="E81" s="511"/>
      <c r="F81" s="511"/>
      <c r="G81" s="511"/>
      <c r="H81" s="511"/>
      <c r="I81" s="511"/>
      <c r="J81" s="18"/>
      <c r="K81" s="511"/>
      <c r="L81" s="511"/>
      <c r="M81" s="511"/>
    </row>
    <row r="82" spans="1:13" ht="13.2">
      <c r="A82" s="376"/>
      <c r="B82" s="28"/>
      <c r="C82" s="29"/>
      <c r="D82" s="511"/>
      <c r="E82" s="511"/>
      <c r="G82" s="29"/>
      <c r="H82" s="29"/>
      <c r="I82" s="29"/>
      <c r="J82" s="29"/>
      <c r="K82" s="402"/>
      <c r="L82" s="29"/>
      <c r="M82" s="511"/>
    </row>
    <row r="83" spans="1:13" ht="13.2">
      <c r="A83" s="376"/>
      <c r="B83" s="31"/>
      <c r="C83" s="29"/>
      <c r="D83" s="511"/>
      <c r="E83" s="511"/>
      <c r="F83" s="29"/>
      <c r="G83" s="29"/>
      <c r="H83" s="29"/>
      <c r="I83" s="32" t="s">
        <v>65</v>
      </c>
      <c r="J83" s="29"/>
      <c r="K83" s="29"/>
      <c r="L83" s="29"/>
      <c r="M83" s="511"/>
    </row>
    <row r="84" spans="1:13" ht="13.8" thickBot="1">
      <c r="A84" s="376"/>
      <c r="B84" s="31"/>
      <c r="C84" s="29"/>
      <c r="D84" s="511"/>
      <c r="E84" s="511"/>
      <c r="F84" s="33" t="s">
        <v>56</v>
      </c>
      <c r="G84" s="33" t="s">
        <v>66</v>
      </c>
      <c r="H84" s="29"/>
      <c r="I84" s="254"/>
      <c r="J84" s="29"/>
      <c r="K84" s="33" t="s">
        <v>67</v>
      </c>
      <c r="L84" s="29"/>
      <c r="M84" s="511"/>
    </row>
    <row r="85" spans="1:13" ht="13.2">
      <c r="A85" s="376">
        <f>+A80+1</f>
        <v>48</v>
      </c>
      <c r="B85" s="28" t="s">
        <v>305</v>
      </c>
      <c r="C85" s="34" t="s">
        <v>503</v>
      </c>
      <c r="D85" s="511"/>
      <c r="E85" s="511"/>
      <c r="F85" s="446">
        <v>7087604</v>
      </c>
      <c r="G85" s="159">
        <f>IF(F$88=0,0,F85/F$88)</f>
        <v>0.3998149962580122</v>
      </c>
      <c r="H85" s="27"/>
      <c r="I85" s="727">
        <v>0.043931602708803613</v>
      </c>
      <c r="J85" s="27"/>
      <c r="K85" s="27">
        <f>G85*I85</f>
        <v>0.017564513572628795</v>
      </c>
      <c r="L85" s="255" t="s">
        <v>68</v>
      </c>
      <c r="M85" s="511"/>
    </row>
    <row r="86" spans="1:13" ht="13.2">
      <c r="A86" s="376">
        <f>+A85+1</f>
        <v>49</v>
      </c>
      <c r="B86" s="28" t="s">
        <v>142</v>
      </c>
      <c r="C86" s="36" t="s">
        <v>504</v>
      </c>
      <c r="D86" s="511"/>
      <c r="E86" s="511"/>
      <c r="F86" s="446">
        <v>0</v>
      </c>
      <c r="G86" s="159">
        <f>IF(F$88=0,0,F86/F$88)</f>
        <v>0</v>
      </c>
      <c r="H86" s="27"/>
      <c r="I86" s="159">
        <v>0</v>
      </c>
      <c r="J86" s="27"/>
      <c r="K86" s="27">
        <f>G86*I86</f>
        <v>0</v>
      </c>
      <c r="L86" s="29"/>
      <c r="M86" s="511"/>
    </row>
    <row r="87" spans="1:13" ht="13.8" thickBot="1">
      <c r="A87" s="376">
        <f>+A86+1</f>
        <v>50</v>
      </c>
      <c r="B87" s="28" t="s">
        <v>414</v>
      </c>
      <c r="C87" s="36" t="s">
        <v>505</v>
      </c>
      <c r="D87" s="511"/>
      <c r="E87" s="511"/>
      <c r="F87" s="633">
        <v>10639605</v>
      </c>
      <c r="G87" s="159">
        <f>IF(F$88=0,0,F87/F$88)</f>
        <v>0.6001850037419878</v>
      </c>
      <c r="H87" s="35"/>
      <c r="I87" s="636">
        <v>0.10100000000000001</v>
      </c>
      <c r="J87" s="27"/>
      <c r="K87" s="47">
        <f>G87*I87</f>
        <v>0.060618685377940774</v>
      </c>
      <c r="L87" s="29"/>
      <c r="M87" s="511"/>
    </row>
    <row r="88" spans="1:13" ht="13.2">
      <c r="A88" s="376">
        <f>+A87+1</f>
        <v>51</v>
      </c>
      <c r="B88" s="31" t="s">
        <v>293</v>
      </c>
      <c r="C88" s="36" t="s">
        <v>798</v>
      </c>
      <c r="D88" s="511"/>
      <c r="E88" s="511"/>
      <c r="F88" s="256">
        <f>SUM(F85:F87)</f>
        <v>17727209</v>
      </c>
      <c r="G88" s="27" t="s">
        <v>8</v>
      </c>
      <c r="H88" s="29"/>
      <c r="I88" s="159"/>
      <c r="J88" s="27"/>
      <c r="K88" s="27">
        <f>SUM(K85:K87)</f>
        <v>0.078183198950569577</v>
      </c>
      <c r="L88" s="255" t="s">
        <v>69</v>
      </c>
      <c r="M88" s="511"/>
    </row>
    <row r="89" spans="1:13" ht="13.2">
      <c r="A89" s="376"/>
      <c r="B89" s="511"/>
      <c r="C89" s="511"/>
      <c r="D89" s="511"/>
      <c r="E89" s="511"/>
      <c r="F89" s="511"/>
      <c r="G89" s="27"/>
      <c r="H89" s="511"/>
      <c r="I89" s="511"/>
      <c r="J89" s="511"/>
      <c r="K89" s="511"/>
      <c r="L89" s="511"/>
      <c r="M89" s="511"/>
    </row>
    <row r="90" spans="1:13" ht="13.2">
      <c r="A90" s="511" t="s">
        <v>502</v>
      </c>
      <c r="B90" s="511"/>
      <c r="C90" s="511"/>
      <c r="D90" s="511"/>
      <c r="E90" s="511"/>
      <c r="F90" s="511"/>
      <c r="G90" s="511"/>
      <c r="H90" s="511"/>
      <c r="I90" s="511"/>
      <c r="J90" s="511"/>
      <c r="K90" s="511"/>
      <c r="L90" s="511"/>
      <c r="M90" s="511"/>
    </row>
    <row r="91" spans="1:13" ht="13.2">
      <c r="A91" s="377" t="s">
        <v>73</v>
      </c>
      <c r="B91" s="298" t="s">
        <v>840</v>
      </c>
      <c r="C91" s="298"/>
      <c r="D91" s="298"/>
      <c r="E91" s="298"/>
      <c r="F91" s="298"/>
      <c r="G91" s="298"/>
      <c r="H91" s="298"/>
      <c r="I91" s="298"/>
      <c r="J91" s="298"/>
      <c r="K91" s="298"/>
      <c r="L91" s="298"/>
      <c r="M91" s="298"/>
    </row>
    <row r="92" spans="1:13" s="668" customFormat="1" ht="13.2">
      <c r="A92" s="670"/>
      <c r="B92" s="672" t="s">
        <v>837</v>
      </c>
      <c r="C92" s="669"/>
      <c r="D92" s="669"/>
      <c r="E92" s="669"/>
      <c r="F92" s="669"/>
      <c r="G92" s="669"/>
      <c r="H92" s="669"/>
      <c r="I92" s="669"/>
      <c r="J92" s="669"/>
      <c r="K92" s="669"/>
      <c r="L92" s="669"/>
      <c r="M92" s="669"/>
    </row>
    <row r="93" spans="1:13" ht="13.2">
      <c r="A93" s="377" t="s">
        <v>74</v>
      </c>
      <c r="B93" s="298" t="s">
        <v>680</v>
      </c>
      <c r="C93" s="298"/>
      <c r="D93" s="298"/>
      <c r="E93" s="298"/>
      <c r="F93" s="298"/>
      <c r="G93" s="298"/>
      <c r="H93" s="298"/>
      <c r="I93" s="298"/>
      <c r="J93" s="298"/>
      <c r="K93" s="298"/>
      <c r="L93" s="298"/>
      <c r="M93" s="298"/>
    </row>
    <row r="94" spans="1:13" ht="13.2">
      <c r="A94" s="377" t="s">
        <v>75</v>
      </c>
      <c r="B94" s="298" t="s">
        <v>681</v>
      </c>
      <c r="C94" s="298"/>
      <c r="D94" s="298"/>
      <c r="E94" s="298"/>
      <c r="F94" s="298"/>
      <c r="G94" s="298"/>
      <c r="H94" s="298"/>
      <c r="I94" s="298"/>
      <c r="J94" s="298"/>
      <c r="K94" s="298"/>
      <c r="L94" s="298"/>
      <c r="M94" s="298"/>
    </row>
    <row r="95" spans="1:11" ht="13.2">
      <c r="A95" s="360"/>
      <c r="B95" s="743" t="s">
        <v>237</v>
      </c>
      <c r="C95" s="743"/>
      <c r="D95" s="743"/>
      <c r="E95" s="743"/>
      <c r="F95" s="743"/>
      <c r="G95" s="743"/>
      <c r="H95" s="743"/>
      <c r="I95" s="743"/>
      <c r="J95" s="743"/>
      <c r="K95" s="743"/>
    </row>
    <row r="96" spans="1:1" ht="13.2">
      <c r="A96" s="360"/>
    </row>
  </sheetData>
  <mergeCells count="1">
    <mergeCell ref="B95:K95"/>
  </mergeCells>
  <pageMargins left="0.25" right="0.25" top="0.75" bottom="0.75" header="0.3" footer="0.3"/>
  <pageSetup fitToHeight="0" orientation="landscape" scale="62" r:id="rId1"/>
  <rowBreaks count="1" manualBreakCount="1">
    <brk id="4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A56"/>
  <sheetViews>
    <sheetView zoomScale="85" zoomScaleNormal="85" zoomScaleSheetLayoutView="100" workbookViewId="0" topLeftCell="A1"/>
  </sheetViews>
  <sheetFormatPr defaultColWidth="8.81555555555556" defaultRowHeight="13.5"/>
  <cols>
    <col min="1" max="1" width="4" style="15" customWidth="1"/>
    <col min="2" max="2" width="12" style="15" bestFit="1" customWidth="1"/>
    <col min="3" max="3" width="8.77777777777778" style="15"/>
    <col min="4" max="4" width="9.55555555555556" style="15" bestFit="1" customWidth="1"/>
    <col min="5" max="6" width="7.77777777777778" style="15" customWidth="1"/>
    <col min="7" max="7" width="8.22222222222222" style="15" customWidth="1"/>
    <col min="8" max="16" width="7.77777777777778" style="15" customWidth="1"/>
    <col min="17" max="17" width="10.7777777777778" style="15" bestFit="1" customWidth="1"/>
    <col min="18" max="27" width="8.77777777777778" style="15"/>
    <col min="28" max="16384" width="8.77777777777778" style="15"/>
  </cols>
  <sheetData>
    <row r="1" spans="9:17" ht="13.2">
      <c r="I1" s="20" t="s">
        <v>235</v>
      </c>
      <c r="Q1" s="306" t="s">
        <v>677</v>
      </c>
    </row>
    <row r="2" spans="9:9" ht="13.2">
      <c r="I2" s="304" t="s">
        <v>642</v>
      </c>
    </row>
    <row r="3" spans="9:9" ht="13.2">
      <c r="I3" s="654" t="str">
        <f>'Attachment H'!$D$5</f>
        <v>NextEra Energy Transmission MidAtlantic Indiana, Inc.</v>
      </c>
    </row>
    <row r="4" spans="9:9" s="564" customFormat="1" ht="13.2">
      <c r="I4" s="599"/>
    </row>
    <row r="5" spans="9:9" s="564" customFormat="1" ht="13.2">
      <c r="I5" s="599"/>
    </row>
    <row r="6" spans="5:8" ht="15">
      <c r="E6" s="640" t="s">
        <v>783</v>
      </c>
      <c r="F6" s="641" t="s">
        <v>784</v>
      </c>
      <c r="G6" s="642" t="s">
        <v>785</v>
      </c>
      <c r="H6" s="641" t="s">
        <v>786</v>
      </c>
    </row>
    <row r="7" spans="1:27" ht="53.4">
      <c r="A7" s="411"/>
      <c r="B7" s="310"/>
      <c r="C7" s="307" t="s">
        <v>640</v>
      </c>
      <c r="D7" s="307"/>
      <c r="E7" s="643" t="s">
        <v>787</v>
      </c>
      <c r="F7" s="643" t="s">
        <v>792</v>
      </c>
      <c r="G7" s="643" t="s">
        <v>825</v>
      </c>
      <c r="H7" s="643" t="s">
        <v>788</v>
      </c>
      <c r="R7" s="424"/>
      <c r="S7" s="424"/>
      <c r="T7" s="424"/>
      <c r="U7" s="424"/>
      <c r="V7" s="424"/>
      <c r="W7" s="424"/>
      <c r="X7" s="424"/>
      <c r="Y7" s="424"/>
      <c r="Z7" s="424"/>
      <c r="AA7" s="424"/>
    </row>
    <row r="8" spans="1:27" ht="15">
      <c r="A8" s="411">
        <v>1</v>
      </c>
      <c r="B8" s="308"/>
      <c r="C8" s="309" t="s">
        <v>460</v>
      </c>
      <c r="D8" s="732">
        <v>2021</v>
      </c>
      <c r="E8" s="644">
        <v>0.0325</v>
      </c>
      <c r="F8" s="644"/>
      <c r="G8" s="728">
        <f>IF(F8&gt;0,MIN(E8:F8),E8)</f>
        <v>0.0325</v>
      </c>
      <c r="H8" s="728">
        <f>E8</f>
        <v>0.0325</v>
      </c>
      <c r="R8" s="645"/>
      <c r="S8" s="646"/>
      <c r="T8" s="646"/>
      <c r="U8" s="646"/>
      <c r="V8" s="647"/>
      <c r="W8" s="648"/>
      <c r="X8" s="649"/>
      <c r="Y8" s="648"/>
      <c r="Z8" s="646"/>
      <c r="AA8" s="424"/>
    </row>
    <row r="9" spans="1:27" ht="15">
      <c r="A9" s="411">
        <v>2</v>
      </c>
      <c r="B9" s="308"/>
      <c r="C9" s="309" t="s">
        <v>461</v>
      </c>
      <c r="D9" s="732">
        <v>2021</v>
      </c>
      <c r="E9" s="644">
        <v>0.0325</v>
      </c>
      <c r="F9" s="644"/>
      <c r="G9" s="728">
        <f t="shared" si="0" ref="G9:G15">IF(F9&gt;0,MIN(E9:F9),E9)</f>
        <v>0.0325</v>
      </c>
      <c r="H9" s="728">
        <f t="shared" si="1" ref="H9:H15">E9</f>
        <v>0.0325</v>
      </c>
      <c r="R9" s="645"/>
      <c r="S9" s="646"/>
      <c r="T9" s="645"/>
      <c r="U9" s="645"/>
      <c r="V9" s="650"/>
      <c r="W9" s="650"/>
      <c r="X9" s="650"/>
      <c r="Y9" s="650"/>
      <c r="Z9" s="650"/>
      <c r="AA9" s="424"/>
    </row>
    <row r="10" spans="1:27" ht="15">
      <c r="A10" s="411">
        <v>3</v>
      </c>
      <c r="B10" s="308"/>
      <c r="C10" s="309" t="s">
        <v>462</v>
      </c>
      <c r="D10" s="732">
        <v>2021</v>
      </c>
      <c r="E10" s="644">
        <v>0.0325</v>
      </c>
      <c r="F10" s="644"/>
      <c r="G10" s="728">
        <f>IF(F10&gt;0,MIN(E10:F10),E10)</f>
        <v>0.0325</v>
      </c>
      <c r="H10" s="728">
        <f>E10</f>
        <v>0.0325</v>
      </c>
      <c r="R10" s="645"/>
      <c r="S10" s="646"/>
      <c r="T10" s="645"/>
      <c r="U10" s="645"/>
      <c r="V10" s="651"/>
      <c r="W10" s="651"/>
      <c r="X10" s="652"/>
      <c r="Y10" s="652"/>
      <c r="Z10" s="652"/>
      <c r="AA10" s="424"/>
    </row>
    <row r="11" spans="1:27" ht="15">
      <c r="A11" s="411">
        <v>4</v>
      </c>
      <c r="B11" s="308"/>
      <c r="C11" s="309" t="s">
        <v>802</v>
      </c>
      <c r="D11" s="732">
        <v>2021</v>
      </c>
      <c r="E11" s="644">
        <v>0.0325</v>
      </c>
      <c r="F11" s="644"/>
      <c r="G11" s="728">
        <f>IF(F11&gt;0,MIN(E11:F11),E11)</f>
        <v>0.0325</v>
      </c>
      <c r="H11" s="728">
        <f>E11</f>
        <v>0.0325</v>
      </c>
      <c r="R11" s="645"/>
      <c r="S11" s="646"/>
      <c r="T11" s="645"/>
      <c r="U11" s="645"/>
      <c r="V11" s="651"/>
      <c r="W11" s="651"/>
      <c r="X11" s="652"/>
      <c r="Y11" s="652"/>
      <c r="Z11" s="652"/>
      <c r="AA11" s="424"/>
    </row>
    <row r="12" spans="1:27" ht="15.75" customHeight="1">
      <c r="A12" s="411">
        <v>5</v>
      </c>
      <c r="B12" s="308"/>
      <c r="C12" s="309" t="s">
        <v>463</v>
      </c>
      <c r="D12" s="732">
        <v>2022</v>
      </c>
      <c r="E12" s="644">
        <v>0.0325</v>
      </c>
      <c r="F12" s="644"/>
      <c r="G12" s="728">
        <f>IF(F12&gt;0,MIN(E12:F12),E12)</f>
        <v>0.0325</v>
      </c>
      <c r="H12" s="728">
        <f>E12</f>
        <v>0.0325</v>
      </c>
      <c r="R12" s="645"/>
      <c r="S12" s="646"/>
      <c r="T12" s="645"/>
      <c r="U12" s="645"/>
      <c r="V12" s="651"/>
      <c r="W12" s="651"/>
      <c r="X12" s="652"/>
      <c r="Y12" s="652"/>
      <c r="Z12" s="652"/>
      <c r="AA12" s="424"/>
    </row>
    <row r="13" spans="1:27" ht="15">
      <c r="A13" s="411">
        <v>6</v>
      </c>
      <c r="B13" s="308"/>
      <c r="C13" s="309" t="s">
        <v>461</v>
      </c>
      <c r="D13" s="732">
        <v>2022</v>
      </c>
      <c r="E13" s="644">
        <v>0.0325</v>
      </c>
      <c r="F13" s="644"/>
      <c r="G13" s="728">
        <f>IF(F13&gt;0,MIN(E13:F13),E13)</f>
        <v>0.0325</v>
      </c>
      <c r="H13" s="728">
        <f>E13</f>
        <v>0.0325</v>
      </c>
      <c r="R13" s="645"/>
      <c r="S13" s="646"/>
      <c r="T13" s="645"/>
      <c r="U13" s="645"/>
      <c r="V13" s="651"/>
      <c r="W13" s="651"/>
      <c r="X13" s="652"/>
      <c r="Y13" s="652"/>
      <c r="Z13" s="652"/>
      <c r="AA13" s="424"/>
    </row>
    <row r="14" spans="1:27" ht="15">
      <c r="A14" s="411">
        <v>7</v>
      </c>
      <c r="B14" s="308"/>
      <c r="C14" s="309" t="s">
        <v>462</v>
      </c>
      <c r="D14" s="732">
        <v>2022</v>
      </c>
      <c r="E14" s="644">
        <v>0.0325</v>
      </c>
      <c r="F14" s="644"/>
      <c r="G14" s="728">
        <f>IF(F14&gt;0,MIN(E14:F14),E14)</f>
        <v>0.0325</v>
      </c>
      <c r="H14" s="728">
        <f>E14</f>
        <v>0.0325</v>
      </c>
      <c r="R14" s="645"/>
      <c r="S14" s="646"/>
      <c r="T14" s="646"/>
      <c r="U14" s="646"/>
      <c r="V14" s="646"/>
      <c r="W14" s="646"/>
      <c r="X14" s="646"/>
      <c r="Y14" s="646"/>
      <c r="Z14" s="646"/>
      <c r="AA14" s="424"/>
    </row>
    <row r="15" spans="1:27" ht="15">
      <c r="A15" s="411"/>
      <c r="B15" s="308"/>
      <c r="C15" s="308"/>
      <c r="D15" s="435"/>
      <c r="E15" s="644"/>
      <c r="F15" s="644"/>
      <c r="G15" s="729">
        <f>IF(F15&gt;0,MIN(E15:F15),E15)</f>
        <v>0</v>
      </c>
      <c r="H15" s="729">
        <f>E15</f>
        <v>0</v>
      </c>
      <c r="R15" s="645"/>
      <c r="S15" s="646"/>
      <c r="T15" s="646"/>
      <c r="U15" s="646"/>
      <c r="V15" s="646"/>
      <c r="W15" s="646"/>
      <c r="X15" s="646"/>
      <c r="Y15" s="646"/>
      <c r="Z15" s="646"/>
      <c r="AA15" s="424"/>
    </row>
    <row r="16" spans="1:27" ht="15">
      <c r="A16" s="411"/>
      <c r="B16" s="308"/>
      <c r="C16" s="311"/>
      <c r="D16" s="436"/>
      <c r="E16" s="436"/>
      <c r="F16" s="435"/>
      <c r="G16" s="680"/>
      <c r="H16" s="680"/>
      <c r="R16" s="645"/>
      <c r="S16" s="646"/>
      <c r="T16" s="646"/>
      <c r="U16" s="646"/>
      <c r="V16" s="653"/>
      <c r="W16" s="652"/>
      <c r="X16" s="646"/>
      <c r="Y16" s="646"/>
      <c r="Z16" s="646"/>
      <c r="AA16" s="424"/>
    </row>
    <row r="17" spans="1:27" ht="15">
      <c r="A17" s="411">
        <v>8</v>
      </c>
      <c r="B17" s="412" t="s">
        <v>790</v>
      </c>
      <c r="C17" s="312"/>
      <c r="D17" s="436"/>
      <c r="E17" s="435"/>
      <c r="F17" s="435"/>
      <c r="G17" s="730">
        <f>AVERAGE(G8:G14)</f>
        <v>0.0325</v>
      </c>
      <c r="H17" s="730">
        <f>AVERAGE(H8:H14)</f>
        <v>0.0325</v>
      </c>
      <c r="R17" s="645"/>
      <c r="S17" s="646"/>
      <c r="T17" s="646"/>
      <c r="U17" s="646"/>
      <c r="V17" s="653"/>
      <c r="W17" s="652"/>
      <c r="X17" s="646"/>
      <c r="Y17" s="646"/>
      <c r="Z17" s="646"/>
      <c r="AA17" s="424"/>
    </row>
    <row r="18" spans="1:27" ht="15">
      <c r="A18" s="308"/>
      <c r="B18" s="308"/>
      <c r="C18" s="312"/>
      <c r="D18" s="436"/>
      <c r="E18" s="436"/>
      <c r="F18" s="435"/>
      <c r="G18" s="680"/>
      <c r="H18" s="680"/>
      <c r="R18" s="645"/>
      <c r="S18" s="646"/>
      <c r="T18" s="646"/>
      <c r="U18" s="646"/>
      <c r="V18" s="646"/>
      <c r="W18" s="646"/>
      <c r="X18" s="646"/>
      <c r="Y18" s="646"/>
      <c r="Z18" s="646"/>
      <c r="AA18" s="424"/>
    </row>
    <row r="19" spans="1:27" ht="15">
      <c r="A19" s="308" t="s">
        <v>641</v>
      </c>
      <c r="B19" s="308"/>
      <c r="C19" s="308"/>
      <c r="D19" s="308"/>
      <c r="E19" s="308"/>
      <c r="F19" s="308"/>
      <c r="G19" s="308"/>
      <c r="H19" s="308"/>
      <c r="R19" s="645"/>
      <c r="S19" s="646"/>
      <c r="T19" s="646"/>
      <c r="U19" s="646"/>
      <c r="V19" s="646"/>
      <c r="W19" s="646"/>
      <c r="X19" s="646"/>
      <c r="Y19" s="646"/>
      <c r="Z19" s="646"/>
      <c r="AA19" s="424"/>
    </row>
    <row r="20" spans="1:27" ht="15">
      <c r="A20" s="308"/>
      <c r="B20" s="639" t="s">
        <v>789</v>
      </c>
      <c r="C20" s="308"/>
      <c r="D20" s="308"/>
      <c r="E20" s="308"/>
      <c r="F20" s="308"/>
      <c r="G20" s="308"/>
      <c r="H20" s="308"/>
      <c r="R20" s="645"/>
      <c r="S20" s="645"/>
      <c r="T20" s="424"/>
      <c r="U20" s="646"/>
      <c r="V20" s="646"/>
      <c r="W20" s="646"/>
      <c r="X20" s="646"/>
      <c r="Y20" s="646"/>
      <c r="Z20" s="646"/>
      <c r="AA20" s="424"/>
    </row>
    <row r="21" spans="1:26" ht="15">
      <c r="A21" s="308"/>
      <c r="B21" s="639" t="s">
        <v>791</v>
      </c>
      <c r="C21" s="308"/>
      <c r="D21" s="308"/>
      <c r="E21" s="308"/>
      <c r="F21" s="308"/>
      <c r="G21" s="308"/>
      <c r="H21" s="308"/>
      <c r="R21" s="638"/>
      <c r="S21" s="639"/>
      <c r="U21" s="639"/>
      <c r="V21" s="639"/>
      <c r="W21" s="639"/>
      <c r="X21" s="639"/>
      <c r="Y21" s="639"/>
      <c r="Z21" s="639"/>
    </row>
    <row r="22" spans="1:26" s="564" customFormat="1" ht="15">
      <c r="A22" s="308"/>
      <c r="B22" s="639" t="s">
        <v>793</v>
      </c>
      <c r="C22" s="308"/>
      <c r="D22" s="308"/>
      <c r="E22" s="308"/>
      <c r="F22" s="308"/>
      <c r="G22" s="308"/>
      <c r="H22" s="308"/>
      <c r="R22" s="638"/>
      <c r="S22" s="639"/>
      <c r="T22" s="639"/>
      <c r="U22" s="639"/>
      <c r="V22" s="639"/>
      <c r="W22" s="639"/>
      <c r="X22" s="639"/>
      <c r="Y22" s="639"/>
      <c r="Z22" s="639"/>
    </row>
    <row r="23" spans="1:8" s="564" customFormat="1" ht="15">
      <c r="A23" s="308"/>
      <c r="B23" s="308"/>
      <c r="C23" s="308"/>
      <c r="D23" s="308"/>
      <c r="E23" s="308"/>
      <c r="F23" s="308"/>
      <c r="G23" s="308"/>
      <c r="H23" s="308"/>
    </row>
    <row r="24" spans="1:12" ht="13.2">
      <c r="A24" s="518"/>
      <c r="B24" s="297"/>
      <c r="C24" s="297"/>
      <c r="D24" s="778"/>
      <c r="E24" s="778"/>
      <c r="F24" s="300"/>
      <c r="G24" s="300"/>
      <c r="H24" s="566"/>
      <c r="I24" s="300"/>
      <c r="J24" s="300"/>
      <c r="K24" s="300"/>
      <c r="L24" s="300"/>
    </row>
    <row r="25" spans="1:12" ht="13.2">
      <c r="A25" s="518">
        <v>9</v>
      </c>
      <c r="B25" s="297" t="s">
        <v>92</v>
      </c>
      <c r="C25" s="297"/>
      <c r="D25" s="778"/>
      <c r="E25" s="778"/>
      <c r="F25" s="778"/>
      <c r="G25" s="778"/>
      <c r="H25" s="566"/>
      <c r="I25" s="778"/>
      <c r="J25" s="778"/>
      <c r="K25" s="778"/>
      <c r="L25" s="778"/>
    </row>
    <row r="26" spans="1:12" ht="13.2">
      <c r="A26" s="518">
        <v>10</v>
      </c>
      <c r="B26" s="725"/>
      <c r="C26" s="297"/>
      <c r="D26" s="300"/>
      <c r="E26" s="300"/>
      <c r="F26" s="301"/>
      <c r="G26" s="300"/>
      <c r="H26" s="300"/>
      <c r="I26" s="300"/>
      <c r="J26" s="300"/>
      <c r="K26" s="300"/>
      <c r="L26" s="300"/>
    </row>
    <row r="27" spans="1:17" ht="13.8">
      <c r="A27" s="409"/>
      <c r="B27" s="471" t="s">
        <v>73</v>
      </c>
      <c r="C27" s="471" t="s">
        <v>74</v>
      </c>
      <c r="D27" s="575" t="s">
        <v>75</v>
      </c>
      <c r="E27" s="576" t="s">
        <v>76</v>
      </c>
      <c r="F27" s="576" t="s">
        <v>77</v>
      </c>
      <c r="G27" s="576" t="s">
        <v>78</v>
      </c>
      <c r="H27" s="576" t="s">
        <v>79</v>
      </c>
      <c r="I27" s="576" t="s">
        <v>81</v>
      </c>
      <c r="J27" s="576" t="s">
        <v>82</v>
      </c>
      <c r="K27" s="576" t="s">
        <v>83</v>
      </c>
      <c r="L27" s="576" t="s">
        <v>120</v>
      </c>
      <c r="M27" s="577" t="s">
        <v>650</v>
      </c>
      <c r="N27" s="577" t="s">
        <v>150</v>
      </c>
      <c r="O27" s="578" t="s">
        <v>643</v>
      </c>
      <c r="P27" s="562" t="s">
        <v>153</v>
      </c>
      <c r="Q27" s="563" t="s">
        <v>154</v>
      </c>
    </row>
    <row r="28" spans="1:17" ht="13.8">
      <c r="A28" s="518"/>
      <c r="B28" s="469"/>
      <c r="C28" s="466"/>
      <c r="D28" s="565"/>
      <c r="E28" s="566"/>
      <c r="F28" s="566"/>
      <c r="G28" s="409"/>
      <c r="H28" s="566"/>
      <c r="I28" s="300"/>
      <c r="J28" s="566"/>
      <c r="K28" s="300"/>
      <c r="L28" s="300"/>
      <c r="M28" s="456"/>
      <c r="N28" s="456"/>
      <c r="O28" s="570"/>
      <c r="P28" s="582"/>
      <c r="Q28" s="583"/>
    </row>
    <row r="29" spans="1:17" ht="13.2">
      <c r="A29" s="518"/>
      <c r="B29" s="470"/>
      <c r="C29" s="472"/>
      <c r="D29" s="565"/>
      <c r="E29" s="566"/>
      <c r="F29" s="566"/>
      <c r="G29" s="566"/>
      <c r="H29" s="566"/>
      <c r="I29" s="566"/>
      <c r="J29" s="566"/>
      <c r="K29" s="566"/>
      <c r="L29" s="566"/>
      <c r="M29" s="568"/>
      <c r="N29" s="568"/>
      <c r="O29" s="522"/>
      <c r="P29" s="521"/>
      <c r="Q29" s="472"/>
    </row>
    <row r="30" spans="1:17" ht="13.2">
      <c r="A30" s="518"/>
      <c r="B30" s="472" t="s">
        <v>548</v>
      </c>
      <c r="C30" s="472"/>
      <c r="D30" s="777" t="s">
        <v>651</v>
      </c>
      <c r="E30" s="778"/>
      <c r="F30" s="778"/>
      <c r="G30" s="778"/>
      <c r="H30" s="778"/>
      <c r="I30" s="778"/>
      <c r="J30" s="778"/>
      <c r="K30" s="778"/>
      <c r="L30" s="778"/>
      <c r="M30" s="778"/>
      <c r="N30" s="778"/>
      <c r="O30" s="779"/>
      <c r="P30" s="521" t="s">
        <v>442</v>
      </c>
      <c r="Q30" s="472" t="s">
        <v>442</v>
      </c>
    </row>
    <row r="31" spans="1:17" ht="13.8">
      <c r="A31" s="518"/>
      <c r="B31" s="468" t="s">
        <v>540</v>
      </c>
      <c r="C31" s="468" t="s">
        <v>541</v>
      </c>
      <c r="D31" s="593" t="s">
        <v>101</v>
      </c>
      <c r="E31" s="594" t="s">
        <v>100</v>
      </c>
      <c r="F31" s="595" t="s">
        <v>99</v>
      </c>
      <c r="G31" s="595" t="s">
        <v>91</v>
      </c>
      <c r="H31" s="594" t="s">
        <v>90</v>
      </c>
      <c r="I31" s="594" t="s">
        <v>111</v>
      </c>
      <c r="J31" s="594" t="s">
        <v>98</v>
      </c>
      <c r="K31" s="594" t="s">
        <v>97</v>
      </c>
      <c r="L31" s="594" t="s">
        <v>96</v>
      </c>
      <c r="M31" s="596" t="s">
        <v>102</v>
      </c>
      <c r="N31" s="596" t="s">
        <v>95</v>
      </c>
      <c r="O31" s="591" t="s">
        <v>94</v>
      </c>
      <c r="P31" s="590" t="s">
        <v>652</v>
      </c>
      <c r="Q31" s="468" t="s">
        <v>613</v>
      </c>
    </row>
    <row r="32" spans="1:17" ht="13.2">
      <c r="A32" s="518">
        <v>11</v>
      </c>
      <c r="B32" s="491"/>
      <c r="C32" s="491"/>
      <c r="D32" s="529"/>
      <c r="E32" s="492"/>
      <c r="F32" s="492"/>
      <c r="G32" s="492"/>
      <c r="H32" s="492"/>
      <c r="I32" s="569"/>
      <c r="J32" s="569"/>
      <c r="K32" s="569"/>
      <c r="L32" s="569"/>
      <c r="M32" s="550"/>
      <c r="N32" s="550"/>
      <c r="O32" s="571"/>
      <c r="P32" s="579"/>
      <c r="Q32" s="584"/>
    </row>
    <row r="33" spans="1:17" ht="13.2">
      <c r="A33" s="518" t="s">
        <v>647</v>
      </c>
      <c r="B33" s="491"/>
      <c r="C33" s="491"/>
      <c r="D33" s="529"/>
      <c r="E33" s="492"/>
      <c r="F33" s="492"/>
      <c r="G33" s="492"/>
      <c r="H33" s="492"/>
      <c r="I33" s="492"/>
      <c r="J33" s="492"/>
      <c r="K33" s="569"/>
      <c r="L33" s="569"/>
      <c r="M33" s="550"/>
      <c r="N33" s="550"/>
      <c r="O33" s="571"/>
      <c r="P33" s="580">
        <f>+H17</f>
        <v>0.0325</v>
      </c>
      <c r="Q33" s="597">
        <f>+P33*(D33+E33*0.91667+F33*0.83333+G33*0.75+H33*0.66667+I33*7/12+J33*6/12+K33*5/12+L33*4/12+M33*3/12+N33*2/12+O33*1/12)+P33*1.5*SUM(D33:O33)</f>
        <v>0</v>
      </c>
    </row>
    <row r="34" spans="1:17" ht="13.2">
      <c r="A34" s="518" t="s">
        <v>648</v>
      </c>
      <c r="B34" s="491"/>
      <c r="C34" s="491"/>
      <c r="D34" s="529"/>
      <c r="E34" s="492"/>
      <c r="F34" s="492"/>
      <c r="G34" s="492"/>
      <c r="H34" s="492"/>
      <c r="I34" s="492"/>
      <c r="J34" s="492"/>
      <c r="K34" s="569"/>
      <c r="L34" s="569"/>
      <c r="M34" s="550"/>
      <c r="N34" s="550"/>
      <c r="O34" s="571"/>
      <c r="P34" s="580">
        <f>+P33</f>
        <v>0.0325</v>
      </c>
      <c r="Q34" s="597">
        <f t="shared" si="2" ref="Q34:Q51">+P34*(D34+E34*0.91667+F34*0.83333+G34*0.75+H34*0.66667+I34*7/12+J34*6/12+K34*5/12+L34*4/12+M34*3/12+N34*2/12+O34*1/12)+P34*1.5*SUM(D34:O34)</f>
        <v>0</v>
      </c>
    </row>
    <row r="35" spans="1:17" ht="13.2">
      <c r="A35" s="518" t="s">
        <v>649</v>
      </c>
      <c r="B35" s="491"/>
      <c r="C35" s="491"/>
      <c r="D35" s="529"/>
      <c r="E35" s="492"/>
      <c r="F35" s="492"/>
      <c r="G35" s="492"/>
      <c r="H35" s="492"/>
      <c r="I35" s="492"/>
      <c r="J35" s="492"/>
      <c r="K35" s="569"/>
      <c r="L35" s="569"/>
      <c r="M35" s="550"/>
      <c r="N35" s="550"/>
      <c r="O35" s="571"/>
      <c r="P35" s="580">
        <f t="shared" si="3" ref="P35:P51">+P34</f>
        <v>0.0325</v>
      </c>
      <c r="Q35" s="597">
        <f>+P35*(D35+E35*0.91667+F35*0.83333+G35*0.75+H35*0.66667+I35*7/12+J35*6/12+K35*5/12+L35*4/12+M35*3/12+N35*2/12+O35*1/12)+P35*1.5*SUM(D35:O35)</f>
        <v>0</v>
      </c>
    </row>
    <row r="36" spans="1:17" ht="13.2">
      <c r="A36" s="518" t="s">
        <v>441</v>
      </c>
      <c r="B36" s="491"/>
      <c r="C36" s="491"/>
      <c r="D36" s="529"/>
      <c r="E36" s="492"/>
      <c r="F36" s="492"/>
      <c r="G36" s="492"/>
      <c r="H36" s="492"/>
      <c r="I36" s="492"/>
      <c r="J36" s="492"/>
      <c r="K36" s="569"/>
      <c r="L36" s="569"/>
      <c r="M36" s="550"/>
      <c r="N36" s="550"/>
      <c r="O36" s="571"/>
      <c r="P36" s="580">
        <f>+P35</f>
        <v>0.0325</v>
      </c>
      <c r="Q36" s="597">
        <f>+P36*(D36+E36*0.91667+F36*0.83333+G36*0.75+H36*0.66667+I36*7/12+J36*6/12+K36*5/12+L36*4/12+M36*3/12+N36*2/12+O36*1/12)+P36*1.5*SUM(D36:O36)</f>
        <v>0</v>
      </c>
    </row>
    <row r="37" spans="1:17" ht="13.2">
      <c r="A37" s="518"/>
      <c r="B37" s="491"/>
      <c r="C37" s="491"/>
      <c r="D37" s="529"/>
      <c r="E37" s="492"/>
      <c r="F37" s="492"/>
      <c r="G37" s="492"/>
      <c r="H37" s="492"/>
      <c r="I37" s="492"/>
      <c r="J37" s="492"/>
      <c r="K37" s="569"/>
      <c r="L37" s="569"/>
      <c r="M37" s="550"/>
      <c r="N37" s="550"/>
      <c r="O37" s="571"/>
      <c r="P37" s="580">
        <f>+P36</f>
        <v>0.0325</v>
      </c>
      <c r="Q37" s="597">
        <f>+P37*(D37+E37*0.91667+F37*0.83333+G37*0.75+H37*0.66667+I37*7/12+J37*6/12+K37*5/12+L37*4/12+M37*3/12+N37*2/12+O37*1/12)+P37*1.5*SUM(D37:O37)</f>
        <v>0</v>
      </c>
    </row>
    <row r="38" spans="1:17" ht="13.2">
      <c r="A38" s="518"/>
      <c r="B38" s="491"/>
      <c r="C38" s="491"/>
      <c r="D38" s="529"/>
      <c r="E38" s="492"/>
      <c r="F38" s="492"/>
      <c r="G38" s="492"/>
      <c r="H38" s="492"/>
      <c r="I38" s="492"/>
      <c r="J38" s="492"/>
      <c r="K38" s="569"/>
      <c r="L38" s="569"/>
      <c r="M38" s="550"/>
      <c r="N38" s="550"/>
      <c r="O38" s="571"/>
      <c r="P38" s="580">
        <f>+P37</f>
        <v>0.0325</v>
      </c>
      <c r="Q38" s="597">
        <f>+P38*(D38+E38*0.91667+F38*0.83333+G38*0.75+H38*0.66667+I38*7/12+J38*6/12+K38*5/12+L38*4/12+M38*3/12+N38*2/12+O38*1/12)+P38*1.5*SUM(D38:O38)</f>
        <v>0</v>
      </c>
    </row>
    <row r="39" spans="1:17" ht="13.2">
      <c r="A39" s="518"/>
      <c r="B39" s="491"/>
      <c r="C39" s="491"/>
      <c r="D39" s="529"/>
      <c r="E39" s="492"/>
      <c r="F39" s="492"/>
      <c r="G39" s="492"/>
      <c r="H39" s="492"/>
      <c r="I39" s="492"/>
      <c r="J39" s="492"/>
      <c r="K39" s="569"/>
      <c r="L39" s="569"/>
      <c r="M39" s="550"/>
      <c r="N39" s="550"/>
      <c r="O39" s="571"/>
      <c r="P39" s="580">
        <f>+P38</f>
        <v>0.0325</v>
      </c>
      <c r="Q39" s="597">
        <f>+P39*(D39+E39*0.91667+F39*0.83333+G39*0.75+H39*0.66667+I39*7/12+J39*6/12+K39*5/12+L39*4/12+M39*3/12+N39*2/12+O39*1/12)+P39*1.5*SUM(D39:O39)</f>
        <v>0</v>
      </c>
    </row>
    <row r="40" spans="1:17" ht="13.2">
      <c r="A40" s="518"/>
      <c r="B40" s="491"/>
      <c r="C40" s="491"/>
      <c r="D40" s="529"/>
      <c r="E40" s="492"/>
      <c r="F40" s="492"/>
      <c r="G40" s="492"/>
      <c r="H40" s="492"/>
      <c r="I40" s="492"/>
      <c r="J40" s="492"/>
      <c r="K40" s="569"/>
      <c r="L40" s="569"/>
      <c r="M40" s="550"/>
      <c r="N40" s="550"/>
      <c r="O40" s="571"/>
      <c r="P40" s="580">
        <f>+P39</f>
        <v>0.0325</v>
      </c>
      <c r="Q40" s="597">
        <f>+P40*(D40+E40*0.91667+F40*0.83333+G40*0.75+H40*0.66667+I40*7/12+J40*6/12+K40*5/12+L40*4/12+M40*3/12+N40*2/12+O40*1/12)+P40*1.5*SUM(D40:O40)</f>
        <v>0</v>
      </c>
    </row>
    <row r="41" spans="1:17" ht="13.2">
      <c r="A41" s="518"/>
      <c r="B41" s="491"/>
      <c r="C41" s="491"/>
      <c r="D41" s="529"/>
      <c r="E41" s="492"/>
      <c r="F41" s="492"/>
      <c r="G41" s="492"/>
      <c r="H41" s="492"/>
      <c r="I41" s="492"/>
      <c r="J41" s="492"/>
      <c r="K41" s="569"/>
      <c r="L41" s="569"/>
      <c r="M41" s="550"/>
      <c r="N41" s="550"/>
      <c r="O41" s="571"/>
      <c r="P41" s="580">
        <f>+P40</f>
        <v>0.0325</v>
      </c>
      <c r="Q41" s="597">
        <f>+P41*(D41+E41*0.91667+F41*0.83333+G41*0.75+H41*0.66667+I41*7/12+J41*6/12+K41*5/12+L41*4/12+M41*3/12+N41*2/12+O41*1/12)+P41*1.5*SUM(D41:O41)</f>
        <v>0</v>
      </c>
    </row>
    <row r="42" spans="1:17" ht="13.2">
      <c r="A42" s="518"/>
      <c r="B42" s="491"/>
      <c r="C42" s="491"/>
      <c r="D42" s="529"/>
      <c r="E42" s="492"/>
      <c r="F42" s="492"/>
      <c r="G42" s="492"/>
      <c r="H42" s="492"/>
      <c r="I42" s="492"/>
      <c r="J42" s="492"/>
      <c r="K42" s="569"/>
      <c r="L42" s="569"/>
      <c r="M42" s="550"/>
      <c r="N42" s="550"/>
      <c r="O42" s="571"/>
      <c r="P42" s="580">
        <f>+P41</f>
        <v>0.0325</v>
      </c>
      <c r="Q42" s="597">
        <f>+P42*(D42+E42*0.91667+F42*0.83333+G42*0.75+H42*0.66667+I42*7/12+J42*6/12+K42*5/12+L42*4/12+M42*3/12+N42*2/12+O42*1/12)+P42*1.5*SUM(D42:O42)</f>
        <v>0</v>
      </c>
    </row>
    <row r="43" spans="1:17" ht="13.2">
      <c r="A43" s="518"/>
      <c r="B43" s="491"/>
      <c r="C43" s="491"/>
      <c r="D43" s="529"/>
      <c r="E43" s="492"/>
      <c r="F43" s="492"/>
      <c r="G43" s="492"/>
      <c r="H43" s="492"/>
      <c r="I43" s="492"/>
      <c r="J43" s="492"/>
      <c r="K43" s="569"/>
      <c r="L43" s="569"/>
      <c r="M43" s="550"/>
      <c r="N43" s="550"/>
      <c r="O43" s="571"/>
      <c r="P43" s="580">
        <f>+P42</f>
        <v>0.0325</v>
      </c>
      <c r="Q43" s="597">
        <f>+P43*(D43+E43*0.91667+F43*0.83333+G43*0.75+H43*0.66667+I43*7/12+J43*6/12+K43*5/12+L43*4/12+M43*3/12+N43*2/12+O43*1/12)+P43*1.5*SUM(D43:O43)</f>
        <v>0</v>
      </c>
    </row>
    <row r="44" spans="1:17" ht="13.2">
      <c r="A44" s="518"/>
      <c r="B44" s="491"/>
      <c r="C44" s="491"/>
      <c r="D44" s="529"/>
      <c r="E44" s="492"/>
      <c r="F44" s="492"/>
      <c r="G44" s="492"/>
      <c r="H44" s="492"/>
      <c r="I44" s="492"/>
      <c r="J44" s="492"/>
      <c r="K44" s="569"/>
      <c r="L44" s="569"/>
      <c r="M44" s="550"/>
      <c r="N44" s="550"/>
      <c r="O44" s="571"/>
      <c r="P44" s="580">
        <f>+P43</f>
        <v>0.0325</v>
      </c>
      <c r="Q44" s="597">
        <f>+P44*(D44+E44*0.91667+F44*0.83333+G44*0.75+H44*0.66667+I44*7/12+J44*6/12+K44*5/12+L44*4/12+M44*3/12+N44*2/12+O44*1/12)+P44*1.5*SUM(D44:O44)</f>
        <v>0</v>
      </c>
    </row>
    <row r="45" spans="1:17" ht="13.2">
      <c r="A45" s="518"/>
      <c r="B45" s="491"/>
      <c r="C45" s="491"/>
      <c r="D45" s="529"/>
      <c r="E45" s="492"/>
      <c r="F45" s="492"/>
      <c r="G45" s="492"/>
      <c r="H45" s="492"/>
      <c r="I45" s="492"/>
      <c r="J45" s="492"/>
      <c r="K45" s="569"/>
      <c r="L45" s="569"/>
      <c r="M45" s="550"/>
      <c r="N45" s="550"/>
      <c r="O45" s="571"/>
      <c r="P45" s="580">
        <f>+P44</f>
        <v>0.0325</v>
      </c>
      <c r="Q45" s="597">
        <f>+P45*(D45+E45*0.91667+F45*0.83333+G45*0.75+H45*0.66667+I45*7/12+J45*6/12+K45*5/12+L45*4/12+M45*3/12+N45*2/12+O45*1/12)+P45*1.5*SUM(D45:O45)</f>
        <v>0</v>
      </c>
    </row>
    <row r="46" spans="1:17" ht="13.2">
      <c r="A46" s="518"/>
      <c r="B46" s="491"/>
      <c r="C46" s="491"/>
      <c r="D46" s="529"/>
      <c r="E46" s="492"/>
      <c r="F46" s="492"/>
      <c r="G46" s="492"/>
      <c r="H46" s="492"/>
      <c r="I46" s="492"/>
      <c r="J46" s="492"/>
      <c r="K46" s="569"/>
      <c r="L46" s="569"/>
      <c r="M46" s="550"/>
      <c r="N46" s="550"/>
      <c r="O46" s="571"/>
      <c r="P46" s="580">
        <f>+P45</f>
        <v>0.0325</v>
      </c>
      <c r="Q46" s="597">
        <f>+P46*(D46+E46*0.91667+F46*0.83333+G46*0.75+H46*0.66667+I46*7/12+J46*6/12+K46*5/12+L46*4/12+M46*3/12+N46*2/12+O46*1/12)+P46*1.5*SUM(D46:O46)</f>
        <v>0</v>
      </c>
    </row>
    <row r="47" spans="1:17" ht="13.2">
      <c r="A47" s="518"/>
      <c r="B47" s="491"/>
      <c r="C47" s="491"/>
      <c r="D47" s="529"/>
      <c r="E47" s="492"/>
      <c r="F47" s="492"/>
      <c r="G47" s="492"/>
      <c r="H47" s="492"/>
      <c r="I47" s="492"/>
      <c r="J47" s="492"/>
      <c r="K47" s="569"/>
      <c r="L47" s="569"/>
      <c r="M47" s="550"/>
      <c r="N47" s="550"/>
      <c r="O47" s="571"/>
      <c r="P47" s="580">
        <f>+P46</f>
        <v>0.0325</v>
      </c>
      <c r="Q47" s="597">
        <f>+P47*(D47+E47*0.91667+F47*0.83333+G47*0.75+H47*0.66667+I47*7/12+J47*6/12+K47*5/12+L47*4/12+M47*3/12+N47*2/12+O47*1/12)+P47*1.5*SUM(D47:O47)</f>
        <v>0</v>
      </c>
    </row>
    <row r="48" spans="1:17" ht="13.2">
      <c r="A48" s="518"/>
      <c r="B48" s="491"/>
      <c r="C48" s="491"/>
      <c r="D48" s="529"/>
      <c r="E48" s="492"/>
      <c r="F48" s="492"/>
      <c r="G48" s="492"/>
      <c r="H48" s="492"/>
      <c r="I48" s="492"/>
      <c r="J48" s="492"/>
      <c r="K48" s="569"/>
      <c r="L48" s="569"/>
      <c r="M48" s="550"/>
      <c r="N48" s="550"/>
      <c r="O48" s="571"/>
      <c r="P48" s="580">
        <f>+P47</f>
        <v>0.0325</v>
      </c>
      <c r="Q48" s="597">
        <f>+P48*(D48+E48*0.91667+F48*0.83333+G48*0.75+H48*0.66667+I48*7/12+J48*6/12+K48*5/12+L48*4/12+M48*3/12+N48*2/12+O48*1/12)+P48*1.5*SUM(D48:O48)</f>
        <v>0</v>
      </c>
    </row>
    <row r="49" spans="1:17" ht="13.2">
      <c r="A49" s="518"/>
      <c r="B49" s="491"/>
      <c r="C49" s="491"/>
      <c r="D49" s="529"/>
      <c r="E49" s="492"/>
      <c r="F49" s="492"/>
      <c r="G49" s="492"/>
      <c r="H49" s="492"/>
      <c r="I49" s="492"/>
      <c r="J49" s="492"/>
      <c r="K49" s="569"/>
      <c r="L49" s="569"/>
      <c r="M49" s="550"/>
      <c r="N49" s="550"/>
      <c r="O49" s="571"/>
      <c r="P49" s="580">
        <f>+P48</f>
        <v>0.0325</v>
      </c>
      <c r="Q49" s="597">
        <f>+P49*(D49+E49*0.91667+F49*0.83333+G49*0.75+H49*0.66667+I49*7/12+J49*6/12+K49*5/12+L49*4/12+M49*3/12+N49*2/12+O49*1/12)+P49*1.5*SUM(D49:O49)</f>
        <v>0</v>
      </c>
    </row>
    <row r="50" spans="1:17" ht="13.2">
      <c r="A50" s="518"/>
      <c r="B50" s="491"/>
      <c r="C50" s="491"/>
      <c r="D50" s="529"/>
      <c r="E50" s="492"/>
      <c r="F50" s="492"/>
      <c r="G50" s="492"/>
      <c r="H50" s="492"/>
      <c r="I50" s="492"/>
      <c r="J50" s="492"/>
      <c r="K50" s="569"/>
      <c r="L50" s="569"/>
      <c r="M50" s="550"/>
      <c r="N50" s="550"/>
      <c r="O50" s="571"/>
      <c r="P50" s="580">
        <f>+P49</f>
        <v>0.0325</v>
      </c>
      <c r="Q50" s="597">
        <f>+P50*(D50+E50*0.91667+F50*0.83333+G50*0.75+H50*0.66667+I50*7/12+J50*6/12+K50*5/12+L50*4/12+M50*3/12+N50*2/12+O50*1/12)+P50*1.5*SUM(D50:O50)</f>
        <v>0</v>
      </c>
    </row>
    <row r="51" spans="1:17" ht="13.2">
      <c r="A51" s="518"/>
      <c r="B51" s="491"/>
      <c r="C51" s="491"/>
      <c r="D51" s="529"/>
      <c r="E51" s="492"/>
      <c r="F51" s="492"/>
      <c r="G51" s="492"/>
      <c r="H51" s="492"/>
      <c r="I51" s="492"/>
      <c r="J51" s="492"/>
      <c r="K51" s="569"/>
      <c r="L51" s="569"/>
      <c r="M51" s="550"/>
      <c r="N51" s="550"/>
      <c r="O51" s="571"/>
      <c r="P51" s="580">
        <f>+P50</f>
        <v>0.0325</v>
      </c>
      <c r="Q51" s="597">
        <f>+P51*(D51+E51*0.91667+F51*0.83333+G51*0.75+H51*0.66667+I51*7/12+J51*6/12+K51*5/12+L51*4/12+M51*3/12+N51*2/12+O51*1/12)+P51*1.5*SUM(D51:O51)</f>
        <v>0</v>
      </c>
    </row>
    <row r="52" spans="1:17" ht="13.2">
      <c r="A52" s="518"/>
      <c r="B52" s="473"/>
      <c r="C52" s="473"/>
      <c r="D52" s="533"/>
      <c r="E52" s="572"/>
      <c r="F52" s="302"/>
      <c r="G52" s="572"/>
      <c r="H52" s="303"/>
      <c r="I52" s="302"/>
      <c r="J52" s="302"/>
      <c r="K52" s="302"/>
      <c r="L52" s="302"/>
      <c r="M52" s="573"/>
      <c r="N52" s="573"/>
      <c r="O52" s="574"/>
      <c r="P52" s="581"/>
      <c r="Q52" s="585"/>
    </row>
    <row r="53" spans="1:12" ht="13.2">
      <c r="A53" s="518"/>
      <c r="B53" s="297"/>
      <c r="C53" s="297"/>
      <c r="D53" s="567"/>
      <c r="E53" s="567"/>
      <c r="F53" s="567"/>
      <c r="G53" s="567"/>
      <c r="H53" s="567"/>
      <c r="I53" s="567"/>
      <c r="J53" s="567"/>
      <c r="K53" s="567"/>
      <c r="L53" s="567"/>
    </row>
    <row r="54" spans="1:12" ht="13.2">
      <c r="A54" s="518"/>
      <c r="B54" s="297" t="s">
        <v>504</v>
      </c>
      <c r="C54" s="297"/>
      <c r="D54" s="535"/>
      <c r="E54" s="535"/>
      <c r="F54" s="535"/>
      <c r="G54" s="535"/>
      <c r="H54" s="535"/>
      <c r="I54" s="535"/>
      <c r="J54" s="535"/>
      <c r="K54" s="535"/>
      <c r="L54" s="535"/>
    </row>
    <row r="55" spans="1:12" ht="13.2">
      <c r="A55" s="518"/>
      <c r="B55" s="297" t="s">
        <v>656</v>
      </c>
      <c r="C55" s="297"/>
      <c r="D55" s="535"/>
      <c r="E55" s="535"/>
      <c r="F55" s="535"/>
      <c r="G55" s="535"/>
      <c r="H55" s="132"/>
      <c r="I55" s="132"/>
      <c r="J55" s="132"/>
      <c r="K55" s="132"/>
      <c r="L55" s="535"/>
    </row>
    <row r="56" spans="1:12" ht="13.2">
      <c r="A56" s="518"/>
      <c r="B56" s="297" t="s">
        <v>657</v>
      </c>
      <c r="C56" s="297"/>
      <c r="D56" s="535"/>
      <c r="E56" s="535"/>
      <c r="F56" s="535"/>
      <c r="G56" s="535"/>
      <c r="H56" s="132"/>
      <c r="I56" s="132"/>
      <c r="J56" s="132"/>
      <c r="K56" s="132"/>
      <c r="L56" s="535"/>
    </row>
    <row r="70" ht="24" customHeight="1"/>
  </sheetData>
  <mergeCells count="5">
    <mergeCell ref="D30:O30"/>
    <mergeCell ref="D24:E24"/>
    <mergeCell ref="D25:E25"/>
    <mergeCell ref="F25:G25"/>
    <mergeCell ref="I25:L25"/>
  </mergeCells>
  <pageMargins left="0.25" right="0.25" top="0.75" bottom="0.75" header="0.3" footer="0.3"/>
  <pageSetup orientation="landscape" scale="49"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2"/>
  <sheetViews>
    <sheetView zoomScale="85" zoomScaleNormal="85" zoomScaleSheetLayoutView="75" workbookViewId="0" topLeftCell="A1"/>
  </sheetViews>
  <sheetFormatPr defaultRowHeight="15"/>
  <cols>
    <col min="1" max="1" width="8.88888888888889" customWidth="1"/>
    <col min="2" max="2" width="43.7777777777778" customWidth="1"/>
    <col min="3" max="3" width="15.5555555555556" customWidth="1"/>
    <col min="4" max="4" width="16.2222222222222" customWidth="1"/>
    <col min="5" max="13" width="8.88888888888889" customWidth="1"/>
  </cols>
  <sheetData>
    <row r="1" spans="1:6" ht="15.6">
      <c r="A1" s="307"/>
      <c r="C1" s="388" t="s">
        <v>236</v>
      </c>
      <c r="F1" s="603" t="s">
        <v>677</v>
      </c>
    </row>
    <row r="2" spans="3:3" ht="15">
      <c r="C2" s="387" t="s">
        <v>419</v>
      </c>
    </row>
    <row r="3" spans="3:3" ht="15">
      <c r="C3" s="675" t="str">
        <f>'Attachment H'!$D$5</f>
        <v>NextEra Energy Transmission MidAtlantic Indiana, Inc.</v>
      </c>
    </row>
    <row r="4" spans="3:3" ht="15">
      <c r="C4" s="381"/>
    </row>
    <row r="5" spans="1:4" ht="15">
      <c r="A5" s="372"/>
      <c r="B5" s="375" t="s">
        <v>416</v>
      </c>
      <c r="C5" s="374"/>
      <c r="D5" s="373"/>
    </row>
    <row r="6" spans="1:5" s="497" customFormat="1" ht="15">
      <c r="A6" s="494"/>
      <c r="B6" s="495" t="s">
        <v>241</v>
      </c>
      <c r="C6" s="496"/>
      <c r="D6" s="495" t="s">
        <v>242</v>
      </c>
      <c r="E6" s="495"/>
    </row>
    <row r="7" spans="1:4" ht="15">
      <c r="A7" s="372"/>
      <c r="B7" s="371"/>
      <c r="C7" s="371"/>
      <c r="D7" s="382"/>
    </row>
    <row r="8" spans="1:5" ht="15">
      <c r="A8" s="498">
        <v>1</v>
      </c>
      <c r="B8" s="456"/>
      <c r="C8" s="499"/>
      <c r="D8" s="500" t="s">
        <v>778</v>
      </c>
      <c r="E8" s="501"/>
    </row>
    <row r="9" spans="1:5" ht="15">
      <c r="A9" s="498">
        <v>2</v>
      </c>
      <c r="B9" s="502" t="s">
        <v>2</v>
      </c>
      <c r="C9" s="502"/>
      <c r="D9" s="627">
        <v>0</v>
      </c>
      <c r="E9" s="27"/>
    </row>
    <row r="10" spans="1:5" ht="15">
      <c r="A10" s="498">
        <v>3</v>
      </c>
      <c r="B10" s="502" t="s">
        <v>779</v>
      </c>
      <c r="C10" s="502"/>
      <c r="D10" s="627">
        <v>0</v>
      </c>
      <c r="E10" s="27"/>
    </row>
    <row r="11" spans="1:5" ht="15">
      <c r="A11" s="498">
        <v>4</v>
      </c>
      <c r="B11" s="502" t="s">
        <v>576</v>
      </c>
      <c r="C11" s="502"/>
      <c r="D11" s="225">
        <f>IF(D9=0,0,D9/D10)</f>
        <v>0</v>
      </c>
      <c r="E11" s="27"/>
    </row>
    <row r="12" spans="1:5" ht="15">
      <c r="A12" s="498">
        <v>5</v>
      </c>
      <c r="B12" s="502" t="s">
        <v>775</v>
      </c>
      <c r="C12" s="502"/>
      <c r="D12" s="587">
        <v>0</v>
      </c>
      <c r="E12" s="27"/>
    </row>
    <row r="13" spans="1:5" ht="15">
      <c r="A13" s="498">
        <v>6</v>
      </c>
      <c r="B13" s="502" t="s">
        <v>575</v>
      </c>
      <c r="C13" s="502" t="s">
        <v>836</v>
      </c>
      <c r="D13" s="549">
        <f>D11*D12</f>
        <v>0</v>
      </c>
      <c r="E13" s="27"/>
    </row>
    <row r="14" spans="1:5" ht="15">
      <c r="A14" s="498">
        <v>7</v>
      </c>
      <c r="B14" s="502" t="s">
        <v>493</v>
      </c>
      <c r="C14" s="502"/>
      <c r="D14" s="549"/>
      <c r="E14" s="27"/>
    </row>
    <row r="15" spans="1:5" ht="15">
      <c r="A15" s="456"/>
      <c r="B15" s="456"/>
      <c r="C15" s="15"/>
      <c r="D15" s="564"/>
      <c r="E15" s="15"/>
    </row>
    <row r="16" spans="1:5" ht="26.4">
      <c r="A16" s="296">
        <v>8</v>
      </c>
      <c r="B16" s="503" t="s">
        <v>555</v>
      </c>
      <c r="C16" s="15"/>
      <c r="D16" s="504"/>
      <c r="E16" s="18"/>
    </row>
    <row r="17" ht="15"/>
    <row r="18" spans="1:13" ht="15">
      <c r="A18" s="398" t="s">
        <v>71</v>
      </c>
      <c r="B18" s="398"/>
      <c r="C18" s="25"/>
      <c r="D18" s="25"/>
      <c r="E18" s="25"/>
      <c r="F18" s="25"/>
      <c r="G18" s="25"/>
      <c r="H18" s="25"/>
      <c r="I18" s="25"/>
      <c r="J18" s="25"/>
      <c r="K18" s="25"/>
      <c r="L18" s="25"/>
      <c r="M18" s="25"/>
    </row>
    <row r="19" spans="1:13" ht="15.6" thickBot="1">
      <c r="A19" s="399" t="s">
        <v>72</v>
      </c>
      <c r="B19" s="398"/>
      <c r="C19" s="25"/>
      <c r="D19" s="25"/>
      <c r="E19" s="25"/>
      <c r="F19" s="25"/>
      <c r="G19" s="25"/>
      <c r="H19" s="25"/>
      <c r="I19" s="25"/>
      <c r="J19" s="25"/>
      <c r="K19" s="25"/>
      <c r="L19" s="25"/>
      <c r="M19" s="25"/>
    </row>
    <row r="20" spans="1:13" ht="15">
      <c r="A20" s="400" t="s">
        <v>73</v>
      </c>
      <c r="B20" s="625" t="s">
        <v>831</v>
      </c>
      <c r="C20" s="628"/>
      <c r="D20" s="628"/>
      <c r="E20" s="628"/>
      <c r="F20" s="628"/>
      <c r="G20" s="628"/>
      <c r="H20" s="509"/>
      <c r="I20" s="509"/>
      <c r="J20" s="509"/>
      <c r="K20" s="509"/>
      <c r="L20" s="509"/>
      <c r="M20" s="509"/>
    </row>
    <row r="21" spans="1:7" ht="15">
      <c r="A21" s="507"/>
      <c r="B21" s="626"/>
      <c r="C21" s="626"/>
      <c r="D21" s="626"/>
      <c r="E21" s="626"/>
      <c r="F21" s="629"/>
      <c r="G21" s="629"/>
    </row>
    <row r="22" spans="1:7" ht="15">
      <c r="A22" s="629"/>
      <c r="B22" s="629"/>
      <c r="C22" s="629"/>
      <c r="D22" s="629"/>
      <c r="E22" s="629"/>
      <c r="F22" s="629"/>
      <c r="G22" s="629"/>
    </row>
    <row r="68" ht="24" customHeight="1"/>
  </sheetData>
  <pageMargins left="0.7" right="0.7" top="0.75" bottom="0.75" header="0.3" footer="0.3"/>
  <pageSetup orientation="portrait" scale="74" r:id="rId1"/>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Application xmlns="http://www.sap.com/cof/excel/application">
  <Version>2</Version>
  <Revision>2.7.401.87606</Revision>
</Application>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3E58E2A-0CCB-4D37-828D-19D8E847C333}">
  <ds:schemaRefs>
    <ds:schemaRef ds:uri="http://www.sap.com/cof/excel/application"/>
  </ds:schemaRefs>
</ds:datastoreItem>
</file>

<file path=customXml/itemProps3.xml><?xml version="1.0" encoding="utf-8"?>
<ds:datastoreItem xmlns:ds="http://schemas.openxmlformats.org/officeDocument/2006/customXml" ds:itemID="{988DBC8E-E135-4F5E-ADEE-BD14D77AAFE6}">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