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4970" windowHeight="9150" activeTab="0"/>
  </bookViews>
  <sheets>
    <sheet name="PJM Buy Bids-PJM Sell Offers" sheetId="1" r:id="rId1"/>
    <sheet name="3rd IA Configuration" sheetId="2" r:id="rId2"/>
    <sheet name="3rd IA Parameters" sheetId="3" r:id="rId3"/>
    <sheet name="2nd IA Parameters" sheetId="4" r:id="rId4"/>
    <sheet name="1st IA Parameters" sheetId="5" r:id="rId5"/>
    <sheet name="BRA Parameters" sheetId="6" r:id="rId6"/>
  </sheets>
  <definedNames>
    <definedName name="_xlnm.Print_Area" localSheetId="4">'1st IA Parameters'!$A$1:$H$33</definedName>
    <definedName name="_xlnm.Print_Area" localSheetId="3">'2nd IA Parameters'!$A$1:$H$33</definedName>
    <definedName name="_xlnm.Print_Area" localSheetId="1">'3rd IA Configuration'!$A$1:$K$11</definedName>
    <definedName name="_xlnm.Print_Area" localSheetId="2">'3rd IA Parameters'!$A$1:$H$34</definedName>
    <definedName name="_xlnm.Print_Area" localSheetId="0">'PJM Buy Bids-PJM Sell Offers'!$A$1:$M$17</definedName>
  </definedNames>
  <calcPr fullCalcOnLoad="1"/>
</workbook>
</file>

<file path=xl/sharedStrings.xml><?xml version="1.0" encoding="utf-8"?>
<sst xmlns="http://schemas.openxmlformats.org/spreadsheetml/2006/main" count="482" uniqueCount="153">
  <si>
    <t>PS</t>
  </si>
  <si>
    <t>CETO</t>
  </si>
  <si>
    <t>Reliability Requirement</t>
  </si>
  <si>
    <t>CETL</t>
  </si>
  <si>
    <t xml:space="preserve"> </t>
  </si>
  <si>
    <t>RTO</t>
  </si>
  <si>
    <t>SWMAAC</t>
  </si>
  <si>
    <t>EMAAC</t>
  </si>
  <si>
    <t>MAAC</t>
  </si>
  <si>
    <t>NA</t>
  </si>
  <si>
    <t>Energy &amp; Ancillary Services, $/MW-Year</t>
  </si>
  <si>
    <t>Cost of New Entry (CONE), $/MW-Year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</si>
  <si>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</si>
  <si>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</si>
  <si>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</si>
  <si>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</si>
  <si>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</si>
  <si>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</si>
  <si>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 xml:space="preserve">Installed Reserve Margin (IRM) </t>
  </si>
  <si>
    <t>Pool-Wide Average EFORd</t>
  </si>
  <si>
    <t>Forecast Pool Requirement (FPR)</t>
  </si>
  <si>
    <t>Preliminary Forecast Peak Load</t>
  </si>
  <si>
    <t xml:space="preserve">Min % Int. Resources Req'd for FRR Load </t>
  </si>
  <si>
    <t>Notes:</t>
  </si>
  <si>
    <t>Demand Resource (DR) Factor</t>
  </si>
  <si>
    <t>LDA</t>
  </si>
  <si>
    <t>Short-Term Resource Procurement Target</t>
  </si>
  <si>
    <t>PS NORTH</t>
  </si>
  <si>
    <t>DPL SOUTH</t>
  </si>
  <si>
    <t>Total Peak Load of FRR Entities</t>
  </si>
  <si>
    <t>Reliability Requirement adjusted for FRR</t>
  </si>
  <si>
    <t>Net CONE, $/MW-Day (ICAP Price)</t>
  </si>
  <si>
    <t>Net CONE, $/MW-Day (UCAP Price)</t>
  </si>
  <si>
    <t>Variable Resource Requirement Curve:</t>
  </si>
  <si>
    <t>Participant-Funded ICTRs Awarded</t>
  </si>
  <si>
    <t>2012-2013 RPM First Incremental Auction Planning Parameters</t>
  </si>
  <si>
    <t>Load forecast is from January 2010 Load Report.</t>
  </si>
  <si>
    <t>Updated FRR Obligation</t>
  </si>
  <si>
    <t>Pre-Clearing Inc Auction Credit Rate, $/MW</t>
  </si>
  <si>
    <t>Post-Clearing Inc Auction Credit Rate, $/MW</t>
  </si>
  <si>
    <t>2012-2013 RPM Base Residual Auction Planning Parameters</t>
  </si>
  <si>
    <t>#519391-v5</t>
  </si>
  <si>
    <t>Added Post-Clearing BRA Credit Rate</t>
  </si>
  <si>
    <t>CONE, Energy &amp; Ancillary Services revenue offset  as approved in March 26 FERC Order.</t>
  </si>
  <si>
    <t>Load forecast is from January 2009 Load Report.</t>
  </si>
  <si>
    <t>Pre-Clearing BRA Credit Rate, $/MW</t>
  </si>
  <si>
    <t>Post-Clearing BRA Credit Rate, $/MW</t>
  </si>
  <si>
    <t>Preliminary FRR Obligation</t>
  </si>
  <si>
    <t>LDA CETO/CETL Data; Zonal Peak Loads, Base Zonal FRR Scaling Factors, and Zonal Short-Term Resource Procurement Target.</t>
  </si>
  <si>
    <t>* (Asterisk) – LDA has adequate internal resources to meet the reliability criterion.</t>
  </si>
  <si>
    <t xml:space="preserve">DPL and PS Zonal peak loads and Short-Term Resource Procurement Targets include the corresponding DPL South and PS North values. </t>
  </si>
  <si>
    <t>LDA/Zone</t>
  </si>
  <si>
    <t>CETL to CETO Ratio</t>
  </si>
  <si>
    <t>2008 W/N Zonal Coincident Peak Loads</t>
  </si>
  <si>
    <t>Preliminary Zonal Peak Load Forecast</t>
  </si>
  <si>
    <t>Base Zonal FRR Scaling Factor</t>
  </si>
  <si>
    <t>Preliminary Zonal Peak Load Forecast less FRR load</t>
  </si>
  <si>
    <t>AE</t>
  </si>
  <si>
    <t>&gt; 2127</t>
  </si>
  <si>
    <t>&gt; 115%</t>
  </si>
  <si>
    <t>AEP (incl. Non-Zone Load)</t>
  </si>
  <si>
    <t>*</t>
  </si>
  <si>
    <t>APS</t>
  </si>
  <si>
    <t>&gt; 1023</t>
  </si>
  <si>
    <t>BGE</t>
  </si>
  <si>
    <t>&gt; 5152</t>
  </si>
  <si>
    <t>COMED</t>
  </si>
  <si>
    <t>&gt; 4117</t>
  </si>
  <si>
    <t>DAYTON</t>
  </si>
  <si>
    <t>&gt; 943</t>
  </si>
  <si>
    <t>DLCO</t>
  </si>
  <si>
    <t>&gt; 1104</t>
  </si>
  <si>
    <t>DOM</t>
  </si>
  <si>
    <t>&gt; 1805</t>
  </si>
  <si>
    <t>DPL</t>
  </si>
  <si>
    <t>&gt; 1564</t>
  </si>
  <si>
    <t>DPLSOUTH</t>
  </si>
  <si>
    <t>JCPL</t>
  </si>
  <si>
    <t>&gt; 5002</t>
  </si>
  <si>
    <t>METED</t>
  </si>
  <si>
    <t>&gt; 713</t>
  </si>
  <si>
    <t>PECO</t>
  </si>
  <si>
    <t>&gt; 2323</t>
  </si>
  <si>
    <t>PENLC</t>
  </si>
  <si>
    <t>&gt; 586</t>
  </si>
  <si>
    <t>PEPCO</t>
  </si>
  <si>
    <t>&gt; 4335</t>
  </si>
  <si>
    <t>PL (incl. UGI)</t>
  </si>
  <si>
    <t>&gt; 770</t>
  </si>
  <si>
    <t>PSNORTH</t>
  </si>
  <si>
    <t>RECO</t>
  </si>
  <si>
    <t>Used to allocate</t>
  </si>
  <si>
    <t>Short-Term</t>
  </si>
  <si>
    <t>Western MAAC</t>
  </si>
  <si>
    <t xml:space="preserve">Resource </t>
  </si>
  <si>
    <t>Procurement</t>
  </si>
  <si>
    <t>Western PJM</t>
  </si>
  <si>
    <t>Target</t>
  </si>
  <si>
    <t xml:space="preserve">  </t>
  </si>
  <si>
    <t>Limiting conditions at the CETL for constrained LDAs</t>
  </si>
  <si>
    <t>Limiting Facility</t>
  </si>
  <si>
    <t>Easton - Trappe Tap 69 kV circuit.</t>
  </si>
  <si>
    <t>PS; PS NORTH</t>
  </si>
  <si>
    <t>Roseland - Cedar Grove 230 kV circuit "B"</t>
  </si>
  <si>
    <t>Burtonsville - Sandy Springs 230 kV circuit "2314"</t>
  </si>
  <si>
    <t>Meadow Brook 500 kV voltage drop.</t>
  </si>
  <si>
    <t>Pleasant View 500/230 kV transformer</t>
  </si>
  <si>
    <t>Updated LDA CETL values reflect removal of Susquehanna-Roseland Project from model.</t>
  </si>
  <si>
    <t xml:space="preserve">RTO and LDA reliability requirements based on updated values of peak load, IRM and CETO. </t>
  </si>
  <si>
    <t>Location</t>
  </si>
  <si>
    <t>Change in Reliability Requirement (MW)</t>
  </si>
  <si>
    <t>Short-Term Resource Procurement Target Applicable Share (MW)</t>
  </si>
  <si>
    <t>PJM Buy Bid (MW) *</t>
  </si>
  <si>
    <t>Point 1 x-axis (MW)</t>
  </si>
  <si>
    <t>Point 1 y-axis ($/MW-Day)</t>
  </si>
  <si>
    <t>Point 2 x-axis (MW)</t>
  </si>
  <si>
    <t>Point 2 y-axis ($/MW-Day)</t>
  </si>
  <si>
    <t>Point 3 x-axis (MW)</t>
  </si>
  <si>
    <t>Point 3 y-axis ($/MW-Day)</t>
  </si>
  <si>
    <t>RTO (Rest of)</t>
  </si>
  <si>
    <t>MAAC (Rest of)</t>
  </si>
  <si>
    <t>EMAAC (Rest of)</t>
  </si>
  <si>
    <t>PS (Rest of)</t>
  </si>
  <si>
    <t>TOTAL</t>
  </si>
  <si>
    <t xml:space="preserve">   * A PJM Sell Offer is indicated by a negative PJM Buy Bid.</t>
  </si>
  <si>
    <t xml:space="preserve"> ** The price of a PJM buy bid is based on the Updated VRR Curve Increment which is the portion of the Updated VRR Curve remaining beyond the point representing all</t>
  </si>
  <si>
    <t xml:space="preserve">     capacity already procured in prior auctions for the Delivery Year. The price of a PJM sell offer is based on the Updated VRR Curve Decrement which is the portion of the Updated </t>
  </si>
  <si>
    <t xml:space="preserve">     VRR Curve to the left of the point representing all capacity already procured in prior auctions for the Delivery Year.</t>
  </si>
  <si>
    <t>607008v3</t>
  </si>
  <si>
    <t xml:space="preserve"> Updated: 10/18/2010 with Post-Clearing BRA Credit Rate</t>
  </si>
  <si>
    <t>2012-2013 RPM Second Incremental Auction Planning Parameters</t>
  </si>
  <si>
    <t>Load forecast is from January 2011 Load Report without ATSI &amp; DEOK.</t>
  </si>
  <si>
    <t>Point 4 x-axis (MW)</t>
  </si>
  <si>
    <t>Point 4 y-axis ($/MW-Day)</t>
  </si>
  <si>
    <t xml:space="preserve">                                                     Price Points for PJM Buy Bids and PJM Sell Offers **</t>
  </si>
  <si>
    <t>Short-Term Resource Procurement Target Applicable Share (STRPTAS)</t>
  </si>
  <si>
    <t>Change in Reliability Requirement plus STRPTAS</t>
  </si>
  <si>
    <t>Capacity Import Limit Margin **</t>
  </si>
  <si>
    <t xml:space="preserve"> ** Capacity Import Limit Margin indicates the capacity import capability remaining into the LDA.</t>
  </si>
  <si>
    <t>Updated LDA CETL values reflect removal from model of Jacks Mountain 500 kV Substation</t>
  </si>
  <si>
    <t xml:space="preserve">(and associated reactive reinforcements) and 250 MVAR capacitor installation at Conemaugh. </t>
  </si>
  <si>
    <t>650826v1</t>
  </si>
  <si>
    <t>2012-2013 RPM Third Incremental Auction Planning Parameters</t>
  </si>
  <si>
    <t>LDA CETL values same as those used for 2nd Incremental Auction (no transmission delays).</t>
  </si>
  <si>
    <t>Final Forecast Peak Load</t>
  </si>
  <si>
    <t>2012-2013 RPM Third Incremental Auction Configuration</t>
  </si>
  <si>
    <t xml:space="preserve">Configuration of Third Incremental Auction for 2012/2013 Delivery Year </t>
  </si>
  <si>
    <t xml:space="preserve">Uncleared PJM Buy Bids from Prior IA </t>
  </si>
  <si>
    <t>BRA Clearing Price, $/MW-Day</t>
  </si>
  <si>
    <t>Change in Reliability Requirement</t>
  </si>
  <si>
    <t>Load forecast is from January 2012 Load Report (excludes ATSI &amp; DEOK load).</t>
  </si>
  <si>
    <t xml:space="preserve">PJMDOCS-#680421v4 </t>
  </si>
  <si>
    <t>updated 3/2/2012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</si>
</sst>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#,##0.000"/>
    <numFmt numFmtId="182" formatCode="_(* #,##0.0_);_(* \(#,##0.0\);_(* &quot;-&quot;??_);_(@_)"/>
    <numFmt numFmtId="183" formatCode="_(* #,##0.0_);_(* \(#,##0.0\);_(* &quot;-&quot;?_);_(@_)"/>
    <numFmt numFmtId="184" formatCode="0.000000"/>
    <numFmt numFmtId="185" formatCode="0.000000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left"/>
    </xf>
    <xf numFmtId="174" fontId="6" fillId="0" borderId="11" xfId="0" applyNumberFormat="1" applyFont="1" applyBorder="1" applyAlignment="1">
      <alignment horizontal="center" vertical="center"/>
    </xf>
    <xf numFmtId="174" fontId="6" fillId="0" borderId="11" xfId="59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173" fontId="6" fillId="0" borderId="11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/>
    </xf>
    <xf numFmtId="171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174" fontId="6" fillId="0" borderId="18" xfId="0" applyNumberFormat="1" applyFont="1" applyBorder="1" applyAlignment="1">
      <alignment horizontal="center" vertical="center" wrapText="1"/>
    </xf>
    <xf numFmtId="173" fontId="6" fillId="0" borderId="18" xfId="0" applyNumberFormat="1" applyFont="1" applyBorder="1" applyAlignment="1">
      <alignment horizontal="center" vertical="center" wrapText="1"/>
    </xf>
    <xf numFmtId="171" fontId="6" fillId="0" borderId="19" xfId="59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4" fontId="6" fillId="0" borderId="18" xfId="0" applyNumberFormat="1" applyFont="1" applyBorder="1" applyAlignment="1">
      <alignment horizontal="center" vertical="center"/>
    </xf>
    <xf numFmtId="174" fontId="6" fillId="0" borderId="18" xfId="59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1" fontId="6" fillId="0" borderId="17" xfId="0" applyNumberFormat="1" applyFont="1" applyBorder="1" applyAlignment="1">
      <alignment horizontal="center" vertical="center"/>
    </xf>
    <xf numFmtId="171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171" fontId="6" fillId="0" borderId="18" xfId="0" applyNumberFormat="1" applyFont="1" applyBorder="1" applyAlignment="1">
      <alignment horizontal="center" vertical="center" wrapText="1"/>
    </xf>
    <xf numFmtId="171" fontId="6" fillId="0" borderId="1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11" xfId="0" applyFont="1" applyBorder="1" applyAlignment="1">
      <alignment/>
    </xf>
    <xf numFmtId="14" fontId="45" fillId="0" borderId="10" xfId="0" applyNumberFormat="1" applyFont="1" applyBorder="1" applyAlignment="1">
      <alignment horizontal="left"/>
    </xf>
    <xf numFmtId="173" fontId="5" fillId="0" borderId="21" xfId="0" applyNumberFormat="1" applyFont="1" applyBorder="1" applyAlignment="1">
      <alignment horizontal="center" vertical="center" wrapText="1"/>
    </xf>
    <xf numFmtId="173" fontId="6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174" fontId="1" fillId="0" borderId="0" xfId="0" applyNumberFormat="1" applyFont="1" applyAlignment="1">
      <alignment wrapText="1"/>
    </xf>
    <xf numFmtId="174" fontId="6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71" fontId="6" fillId="0" borderId="18" xfId="0" applyNumberFormat="1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7" fillId="0" borderId="2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174" fontId="0" fillId="0" borderId="0" xfId="0" applyNumberFormat="1" applyAlignment="1">
      <alignment/>
    </xf>
    <xf numFmtId="0" fontId="5" fillId="0" borderId="25" xfId="0" applyFont="1" applyBorder="1" applyAlignment="1">
      <alignment horizontal="lef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left"/>
    </xf>
    <xf numFmtId="174" fontId="6" fillId="0" borderId="0" xfId="59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76" fontId="47" fillId="0" borderId="2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71" fontId="6" fillId="0" borderId="0" xfId="5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71" fontId="6" fillId="0" borderId="2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 wrapText="1"/>
    </xf>
    <xf numFmtId="0" fontId="5" fillId="0" borderId="1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18" xfId="0" applyFont="1" applyBorder="1" applyAlignment="1">
      <alignment horizontal="center" wrapText="1"/>
    </xf>
    <xf numFmtId="174" fontId="6" fillId="0" borderId="18" xfId="0" applyNumberFormat="1" applyFont="1" applyBorder="1" applyAlignment="1">
      <alignment horizontal="center" wrapText="1"/>
    </xf>
    <xf numFmtId="172" fontId="6" fillId="0" borderId="29" xfId="0" applyNumberFormat="1" applyFont="1" applyBorder="1" applyAlignment="1">
      <alignment horizontal="center" wrapText="1"/>
    </xf>
    <xf numFmtId="174" fontId="6" fillId="0" borderId="11" xfId="0" applyNumberFormat="1" applyFont="1" applyBorder="1" applyAlignment="1">
      <alignment horizontal="center" wrapText="1"/>
    </xf>
    <xf numFmtId="174" fontId="6" fillId="0" borderId="3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right"/>
    </xf>
    <xf numFmtId="3" fontId="6" fillId="0" borderId="29" xfId="0" applyNumberFormat="1" applyFont="1" applyBorder="1" applyAlignment="1">
      <alignment horizontal="center"/>
    </xf>
    <xf numFmtId="174" fontId="6" fillId="0" borderId="29" xfId="0" applyNumberFormat="1" applyFont="1" applyBorder="1" applyAlignment="1">
      <alignment horizontal="center"/>
    </xf>
    <xf numFmtId="174" fontId="6" fillId="0" borderId="29" xfId="59" applyNumberFormat="1" applyFont="1" applyBorder="1" applyAlignment="1">
      <alignment horizontal="center"/>
    </xf>
    <xf numFmtId="175" fontId="6" fillId="0" borderId="29" xfId="59" applyNumberFormat="1" applyFont="1" applyBorder="1" applyAlignment="1">
      <alignment horizontal="center"/>
    </xf>
    <xf numFmtId="174" fontId="6" fillId="0" borderId="11" xfId="59" applyNumberFormat="1" applyFont="1" applyBorder="1" applyAlignment="1">
      <alignment horizontal="center"/>
    </xf>
    <xf numFmtId="174" fontId="6" fillId="0" borderId="31" xfId="59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center"/>
    </xf>
    <xf numFmtId="174" fontId="6" fillId="0" borderId="29" xfId="0" applyNumberFormat="1" applyFont="1" applyFill="1" applyBorder="1" applyAlignment="1">
      <alignment horizontal="center"/>
    </xf>
    <xf numFmtId="174" fontId="6" fillId="0" borderId="29" xfId="59" applyNumberFormat="1" applyFont="1" applyFill="1" applyBorder="1" applyAlignment="1">
      <alignment horizontal="center"/>
    </xf>
    <xf numFmtId="174" fontId="6" fillId="0" borderId="31" xfId="59" applyNumberFormat="1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9" fontId="6" fillId="0" borderId="29" xfId="59" applyNumberFormat="1" applyFont="1" applyBorder="1" applyAlignment="1">
      <alignment horizontal="center"/>
    </xf>
    <xf numFmtId="174" fontId="6" fillId="0" borderId="32" xfId="59" applyNumberFormat="1" applyFont="1" applyBorder="1" applyAlignment="1">
      <alignment horizontal="center"/>
    </xf>
    <xf numFmtId="172" fontId="6" fillId="0" borderId="29" xfId="59" applyNumberFormat="1" applyFont="1" applyBorder="1" applyAlignment="1">
      <alignment horizontal="center"/>
    </xf>
    <xf numFmtId="174" fontId="6" fillId="0" borderId="18" xfId="59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center"/>
    </xf>
    <xf numFmtId="174" fontId="6" fillId="0" borderId="33" xfId="0" applyNumberFormat="1" applyFont="1" applyFill="1" applyBorder="1" applyAlignment="1">
      <alignment horizontal="center"/>
    </xf>
    <xf numFmtId="174" fontId="6" fillId="0" borderId="33" xfId="59" applyNumberFormat="1" applyFont="1" applyBorder="1" applyAlignment="1">
      <alignment horizontal="center"/>
    </xf>
    <xf numFmtId="172" fontId="6" fillId="0" borderId="33" xfId="59" applyNumberFormat="1" applyFont="1" applyBorder="1" applyAlignment="1">
      <alignment horizontal="center"/>
    </xf>
    <xf numFmtId="174" fontId="6" fillId="0" borderId="34" xfId="59" applyNumberFormat="1" applyFont="1" applyBorder="1" applyAlignment="1">
      <alignment horizontal="center"/>
    </xf>
    <xf numFmtId="174" fontId="6" fillId="0" borderId="19" xfId="59" applyNumberFormat="1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14" fontId="47" fillId="0" borderId="10" xfId="0" applyNumberFormat="1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wrapText="1"/>
    </xf>
    <xf numFmtId="174" fontId="5" fillId="0" borderId="0" xfId="0" applyNumberFormat="1" applyFont="1" applyAlignment="1">
      <alignment wrapText="1"/>
    </xf>
    <xf numFmtId="0" fontId="6" fillId="0" borderId="2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14" fontId="5" fillId="0" borderId="26" xfId="0" applyNumberFormat="1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8" xfId="0" applyFont="1" applyBorder="1" applyAlignment="1">
      <alignment horizontal="right" wrapText="1"/>
    </xf>
    <xf numFmtId="0" fontId="6" fillId="0" borderId="36" xfId="0" applyFont="1" applyBorder="1" applyAlignment="1">
      <alignment horizontal="center" vertical="center" wrapText="1"/>
    </xf>
    <xf numFmtId="174" fontId="6" fillId="0" borderId="3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4" fontId="6" fillId="0" borderId="39" xfId="0" applyNumberFormat="1" applyFont="1" applyBorder="1" applyAlignment="1">
      <alignment horizontal="right"/>
    </xf>
    <xf numFmtId="172" fontId="5" fillId="0" borderId="40" xfId="0" applyNumberFormat="1" applyFont="1" applyBorder="1" applyAlignment="1">
      <alignment horizontal="center"/>
    </xf>
    <xf numFmtId="173" fontId="5" fillId="0" borderId="41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right"/>
    </xf>
    <xf numFmtId="174" fontId="6" fillId="0" borderId="40" xfId="0" applyNumberFormat="1" applyFont="1" applyBorder="1" applyAlignment="1">
      <alignment horizontal="center"/>
    </xf>
    <xf numFmtId="174" fontId="5" fillId="0" borderId="42" xfId="0" applyNumberFormat="1" applyFont="1" applyFill="1" applyBorder="1" applyAlignment="1">
      <alignment horizontal="center"/>
    </xf>
    <xf numFmtId="174" fontId="6" fillId="0" borderId="40" xfId="59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right"/>
    </xf>
    <xf numFmtId="174" fontId="6" fillId="0" borderId="44" xfId="59" applyNumberFormat="1" applyFont="1" applyBorder="1" applyAlignment="1">
      <alignment horizontal="center"/>
    </xf>
    <xf numFmtId="174" fontId="5" fillId="0" borderId="43" xfId="0" applyNumberFormat="1" applyFont="1" applyFill="1" applyBorder="1" applyAlignment="1">
      <alignment horizontal="center"/>
    </xf>
    <xf numFmtId="172" fontId="5" fillId="0" borderId="44" xfId="0" applyNumberFormat="1" applyFont="1" applyBorder="1" applyAlignment="1">
      <alignment horizontal="center"/>
    </xf>
    <xf numFmtId="173" fontId="5" fillId="0" borderId="4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174" fontId="6" fillId="0" borderId="0" xfId="59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172" fontId="5" fillId="0" borderId="17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176" fontId="47" fillId="0" borderId="11" xfId="0" applyNumberFormat="1" applyFont="1" applyFill="1" applyBorder="1" applyAlignment="1">
      <alignment horizontal="center" vertical="center"/>
    </xf>
    <xf numFmtId="1" fontId="6" fillId="0" borderId="46" xfId="0" applyNumberFormat="1" applyFont="1" applyBorder="1" applyAlignment="1">
      <alignment horizontal="left" vertical="center" wrapText="1"/>
    </xf>
    <xf numFmtId="174" fontId="6" fillId="0" borderId="46" xfId="0" applyNumberFormat="1" applyFont="1" applyBorder="1" applyAlignment="1">
      <alignment horizontal="center" vertical="center" wrapText="1"/>
    </xf>
    <xf numFmtId="172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171" fontId="5" fillId="0" borderId="46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left" vertical="center" wrapText="1"/>
    </xf>
    <xf numFmtId="174" fontId="6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5" fillId="0" borderId="46" xfId="0" applyNumberFormat="1" applyFont="1" applyBorder="1" applyAlignment="1">
      <alignment horizontal="center" vertical="center"/>
    </xf>
    <xf numFmtId="174" fontId="6" fillId="0" borderId="49" xfId="0" applyNumberFormat="1" applyFont="1" applyBorder="1" applyAlignment="1">
      <alignment horizontal="center" vertical="center" wrapText="1"/>
    </xf>
    <xf numFmtId="174" fontId="6" fillId="0" borderId="50" xfId="0" applyNumberFormat="1" applyFont="1" applyFill="1" applyBorder="1" applyAlignment="1">
      <alignment horizontal="center"/>
    </xf>
    <xf numFmtId="174" fontId="6" fillId="0" borderId="51" xfId="0" applyNumberFormat="1" applyFont="1" applyFill="1" applyBorder="1" applyAlignment="1">
      <alignment horizontal="center"/>
    </xf>
    <xf numFmtId="174" fontId="6" fillId="0" borderId="5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73" fontId="0" fillId="0" borderId="0" xfId="0" applyNumberForma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/>
    </xf>
    <xf numFmtId="176" fontId="5" fillId="0" borderId="26" xfId="0" applyNumberFormat="1" applyFont="1" applyBorder="1" applyAlignment="1">
      <alignment horizontal="center" vertical="center"/>
    </xf>
    <xf numFmtId="187" fontId="6" fillId="0" borderId="17" xfId="44" applyNumberFormat="1" applyFont="1" applyBorder="1" applyAlignment="1">
      <alignment horizontal="center" vertical="center"/>
    </xf>
    <xf numFmtId="187" fontId="6" fillId="0" borderId="48" xfId="44" applyNumberFormat="1" applyFont="1" applyBorder="1" applyAlignment="1">
      <alignment horizontal="center" vertical="center"/>
    </xf>
    <xf numFmtId="0" fontId="44" fillId="0" borderId="0" xfId="0" applyFont="1" applyAlignment="1">
      <alignment vertical="top"/>
    </xf>
    <xf numFmtId="174" fontId="6" fillId="0" borderId="10" xfId="0" applyNumberFormat="1" applyFont="1" applyFill="1" applyBorder="1" applyAlignment="1">
      <alignment horizontal="center"/>
    </xf>
    <xf numFmtId="174" fontId="6" fillId="0" borderId="53" xfId="0" applyNumberFormat="1" applyFont="1" applyFill="1" applyBorder="1" applyAlignment="1">
      <alignment horizontal="center"/>
    </xf>
    <xf numFmtId="174" fontId="6" fillId="0" borderId="41" xfId="0" applyNumberFormat="1" applyFont="1" applyFill="1" applyBorder="1" applyAlignment="1">
      <alignment horizontal="center"/>
    </xf>
    <xf numFmtId="174" fontId="6" fillId="0" borderId="45" xfId="0" applyNumberFormat="1" applyFont="1" applyFill="1" applyBorder="1" applyAlignment="1">
      <alignment horizontal="center"/>
    </xf>
    <xf numFmtId="172" fontId="6" fillId="0" borderId="40" xfId="0" applyNumberFormat="1" applyFont="1" applyBorder="1" applyAlignment="1">
      <alignment horizontal="center"/>
    </xf>
    <xf numFmtId="173" fontId="6" fillId="0" borderId="41" xfId="0" applyNumberFormat="1" applyFont="1" applyBorder="1" applyAlignment="1">
      <alignment horizontal="center"/>
    </xf>
    <xf numFmtId="172" fontId="6" fillId="0" borderId="44" xfId="0" applyNumberFormat="1" applyFont="1" applyBorder="1" applyAlignment="1">
      <alignment horizontal="center"/>
    </xf>
    <xf numFmtId="173" fontId="6" fillId="0" borderId="45" xfId="0" applyNumberFormat="1" applyFont="1" applyBorder="1" applyAlignment="1">
      <alignment horizontal="center"/>
    </xf>
    <xf numFmtId="176" fontId="47" fillId="0" borderId="27" xfId="0" applyNumberFormat="1" applyFont="1" applyFill="1" applyBorder="1" applyAlignment="1">
      <alignment horizontal="center" vertical="center"/>
    </xf>
    <xf numFmtId="171" fontId="6" fillId="0" borderId="24" xfId="0" applyNumberFormat="1" applyFont="1" applyBorder="1" applyAlignment="1">
      <alignment horizontal="center" vertical="center" wrapText="1"/>
    </xf>
    <xf numFmtId="172" fontId="6" fillId="0" borderId="24" xfId="0" applyNumberFormat="1" applyFont="1" applyBorder="1" applyAlignment="1">
      <alignment horizontal="center" vertical="center"/>
    </xf>
    <xf numFmtId="171" fontId="6" fillId="0" borderId="24" xfId="0" applyNumberFormat="1" applyFont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187" fontId="49" fillId="0" borderId="55" xfId="44" applyNumberFormat="1" applyFont="1" applyBorder="1" applyAlignment="1">
      <alignment horizontal="center" vertical="center"/>
    </xf>
    <xf numFmtId="187" fontId="49" fillId="0" borderId="56" xfId="44" applyNumberFormat="1" applyFont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173" fontId="6" fillId="0" borderId="58" xfId="0" applyNumberFormat="1" applyFont="1" applyBorder="1" applyAlignment="1">
      <alignment horizontal="center" vertical="center" wrapText="1"/>
    </xf>
    <xf numFmtId="173" fontId="6" fillId="0" borderId="59" xfId="0" applyNumberFormat="1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/>
    </xf>
    <xf numFmtId="176" fontId="6" fillId="0" borderId="61" xfId="0" applyNumberFormat="1" applyFont="1" applyFill="1" applyBorder="1" applyAlignment="1">
      <alignment horizontal="center" vertical="center"/>
    </xf>
    <xf numFmtId="174" fontId="49" fillId="0" borderId="62" xfId="0" applyNumberFormat="1" applyFont="1" applyBorder="1" applyAlignment="1">
      <alignment horizontal="center" wrapText="1"/>
    </xf>
    <xf numFmtId="174" fontId="47" fillId="0" borderId="39" xfId="0" applyNumberFormat="1" applyFont="1" applyFill="1" applyBorder="1" applyAlignment="1">
      <alignment horizontal="center"/>
    </xf>
    <xf numFmtId="172" fontId="47" fillId="0" borderId="40" xfId="0" applyNumberFormat="1" applyFont="1" applyBorder="1" applyAlignment="1">
      <alignment horizontal="center"/>
    </xf>
    <xf numFmtId="174" fontId="47" fillId="0" borderId="0" xfId="0" applyNumberFormat="1" applyFont="1" applyBorder="1" applyAlignment="1">
      <alignment horizontal="center"/>
    </xf>
    <xf numFmtId="174" fontId="49" fillId="0" borderId="18" xfId="0" applyNumberFormat="1" applyFont="1" applyBorder="1" applyAlignment="1">
      <alignment horizontal="center" vertical="center"/>
    </xf>
    <xf numFmtId="174" fontId="49" fillId="0" borderId="18" xfId="0" applyNumberFormat="1" applyFont="1" applyBorder="1" applyAlignment="1">
      <alignment horizontal="center" vertical="center" wrapText="1"/>
    </xf>
    <xf numFmtId="174" fontId="47" fillId="0" borderId="18" xfId="0" applyNumberFormat="1" applyFont="1" applyBorder="1" applyAlignment="1">
      <alignment horizontal="center" vertical="center" wrapText="1"/>
    </xf>
    <xf numFmtId="174" fontId="49" fillId="0" borderId="47" xfId="0" applyNumberFormat="1" applyFont="1" applyBorder="1" applyAlignment="1">
      <alignment horizontal="center" vertical="center" wrapText="1"/>
    </xf>
    <xf numFmtId="172" fontId="47" fillId="0" borderId="4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0" borderId="46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63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9" fillId="0" borderId="22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7" fillId="0" borderId="64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47" fillId="0" borderId="34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wrapText="1"/>
    </xf>
    <xf numFmtId="174" fontId="6" fillId="0" borderId="22" xfId="0" applyNumberFormat="1" applyFont="1" applyBorder="1" applyAlignment="1">
      <alignment horizontal="left"/>
    </xf>
    <xf numFmtId="174" fontId="6" fillId="0" borderId="0" xfId="0" applyNumberFormat="1" applyFont="1" applyBorder="1" applyAlignment="1">
      <alignment horizontal="left"/>
    </xf>
    <xf numFmtId="174" fontId="6" fillId="0" borderId="11" xfId="0" applyNumberFormat="1" applyFont="1" applyBorder="1" applyAlignment="1">
      <alignment horizontal="left"/>
    </xf>
    <xf numFmtId="174" fontId="6" fillId="0" borderId="64" xfId="0" applyNumberFormat="1" applyFont="1" applyFill="1" applyBorder="1" applyAlignment="1">
      <alignment horizontal="left"/>
    </xf>
    <xf numFmtId="174" fontId="6" fillId="0" borderId="26" xfId="0" applyNumberFormat="1" applyFont="1" applyFill="1" applyBorder="1" applyAlignment="1">
      <alignment horizontal="left"/>
    </xf>
    <xf numFmtId="174" fontId="6" fillId="0" borderId="34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="75" zoomScaleNormal="75" zoomScaleSheetLayoutView="75" zoomScalePageLayoutView="0" workbookViewId="0" topLeftCell="A1">
      <selection activeCell="H6" sqref="H6"/>
    </sheetView>
  </sheetViews>
  <sheetFormatPr defaultColWidth="30.7109375" defaultRowHeight="12.75"/>
  <cols>
    <col min="1" max="1" width="20.7109375" style="0" customWidth="1"/>
    <col min="2" max="2" width="15.7109375" style="1" customWidth="1"/>
    <col min="3" max="3" width="16.28125" style="1" customWidth="1"/>
    <col min="4" max="8" width="15.7109375" style="1" customWidth="1"/>
    <col min="9" max="11" width="15.7109375" style="0" customWidth="1"/>
    <col min="12" max="12" width="17.28125" style="0" customWidth="1"/>
    <col min="13" max="13" width="18.28125" style="0" customWidth="1"/>
  </cols>
  <sheetData>
    <row r="1" spans="1:7" ht="22.5" customHeight="1">
      <c r="A1" s="152" t="s">
        <v>146</v>
      </c>
      <c r="B1" s="153"/>
      <c r="C1" s="153"/>
      <c r="D1" s="153"/>
      <c r="E1" s="153"/>
      <c r="G1" s="154"/>
    </row>
    <row r="2" ht="22.5" customHeight="1" thickBot="1">
      <c r="A2" s="120" t="s">
        <v>151</v>
      </c>
    </row>
    <row r="3" spans="1:13" ht="22.5" customHeight="1" thickBot="1">
      <c r="A3" s="3"/>
      <c r="B3" s="243"/>
      <c r="C3" s="243"/>
      <c r="D3" s="243"/>
      <c r="E3" s="244" t="s">
        <v>134</v>
      </c>
      <c r="F3" s="245"/>
      <c r="G3" s="245"/>
      <c r="H3" s="245"/>
      <c r="I3" s="245"/>
      <c r="J3" s="245"/>
      <c r="K3" s="245"/>
      <c r="L3" s="203"/>
      <c r="M3" s="204"/>
    </row>
    <row r="4" spans="1:13" ht="90.75" thickBot="1">
      <c r="A4" s="155" t="s">
        <v>109</v>
      </c>
      <c r="B4" s="156" t="s">
        <v>110</v>
      </c>
      <c r="C4" s="199" t="s">
        <v>111</v>
      </c>
      <c r="D4" s="157" t="s">
        <v>147</v>
      </c>
      <c r="E4" s="158" t="s">
        <v>112</v>
      </c>
      <c r="F4" s="159" t="s">
        <v>113</v>
      </c>
      <c r="G4" s="160" t="s">
        <v>114</v>
      </c>
      <c r="H4" s="159" t="s">
        <v>115</v>
      </c>
      <c r="I4" s="160" t="s">
        <v>116</v>
      </c>
      <c r="J4" s="159" t="s">
        <v>117</v>
      </c>
      <c r="K4" s="160" t="s">
        <v>118</v>
      </c>
      <c r="L4" s="159" t="s">
        <v>132</v>
      </c>
      <c r="M4" s="160" t="s">
        <v>133</v>
      </c>
    </row>
    <row r="5" spans="1:13" ht="22.5" customHeight="1">
      <c r="A5" s="161" t="s">
        <v>119</v>
      </c>
      <c r="B5" s="234">
        <f>'3rd IA Configuration'!B6-'3rd IA Configuration'!C6</f>
        <v>-1655.714289999989</v>
      </c>
      <c r="C5" s="200">
        <f>'3rd IA Configuration'!B7-'3rd IA Configuration'!C7</f>
        <v>1001.7</v>
      </c>
      <c r="D5" s="213">
        <v>0</v>
      </c>
      <c r="E5" s="235">
        <f aca="true" t="shared" si="0" ref="E5:E11">SUM(B5:D5)</f>
        <v>-654.0142899999889</v>
      </c>
      <c r="F5" s="162">
        <v>0</v>
      </c>
      <c r="G5" s="163">
        <v>0</v>
      </c>
      <c r="H5" s="236">
        <v>654</v>
      </c>
      <c r="I5" s="163">
        <v>0</v>
      </c>
      <c r="J5" s="217" t="s">
        <v>9</v>
      </c>
      <c r="K5" s="218" t="s">
        <v>9</v>
      </c>
      <c r="L5" s="217" t="s">
        <v>9</v>
      </c>
      <c r="M5" s="218" t="s">
        <v>9</v>
      </c>
    </row>
    <row r="6" spans="1:13" ht="22.5" customHeight="1">
      <c r="A6" s="164" t="s">
        <v>120</v>
      </c>
      <c r="B6" s="165">
        <f>'3rd IA Configuration'!C6-'3rd IA Configuration'!D6-'3rd IA Configuration'!E6</f>
        <v>-291</v>
      </c>
      <c r="C6" s="201">
        <f>'3rd IA Configuration'!C7-'3rd IA Configuration'!D7-'3rd IA Configuration'!E7</f>
        <v>214.6999999999999</v>
      </c>
      <c r="D6" s="215">
        <v>-219.69999999999993</v>
      </c>
      <c r="E6" s="166">
        <f t="shared" si="0"/>
        <v>-296</v>
      </c>
      <c r="F6" s="162">
        <v>0</v>
      </c>
      <c r="G6" s="163">
        <v>0</v>
      </c>
      <c r="H6" s="162">
        <v>296</v>
      </c>
      <c r="I6" s="163">
        <v>0</v>
      </c>
      <c r="J6" s="217" t="s">
        <v>9</v>
      </c>
      <c r="K6" s="218" t="s">
        <v>9</v>
      </c>
      <c r="L6" s="217" t="s">
        <v>9</v>
      </c>
      <c r="M6" s="218" t="s">
        <v>9</v>
      </c>
    </row>
    <row r="7" spans="1:13" s="1" customFormat="1" ht="22.5" customHeight="1">
      <c r="A7" s="164" t="s">
        <v>121</v>
      </c>
      <c r="B7" s="165">
        <f>'3rd IA Configuration'!D6-'3rd IA Configuration'!F6-'3rd IA Configuration'!H6</f>
        <v>-741</v>
      </c>
      <c r="C7" s="201">
        <f>'3rd IA Configuration'!D7-'3rd IA Configuration'!F7-'3rd IA Configuration'!H7</f>
        <v>333.50000000000006</v>
      </c>
      <c r="D7" s="214">
        <v>-262.20000000000005</v>
      </c>
      <c r="E7" s="166">
        <f t="shared" si="0"/>
        <v>-669.7</v>
      </c>
      <c r="F7" s="162">
        <v>0</v>
      </c>
      <c r="G7" s="163">
        <v>0</v>
      </c>
      <c r="H7" s="162">
        <v>533.5000000000073</v>
      </c>
      <c r="I7" s="163">
        <v>0</v>
      </c>
      <c r="J7" s="162">
        <v>533.5000000000073</v>
      </c>
      <c r="K7" s="163">
        <v>42.29</v>
      </c>
      <c r="L7" s="162">
        <v>669.7</v>
      </c>
      <c r="M7" s="163">
        <v>60.08361649548131</v>
      </c>
    </row>
    <row r="8" spans="1:13" s="1" customFormat="1" ht="22.5" customHeight="1">
      <c r="A8" s="164" t="s">
        <v>6</v>
      </c>
      <c r="B8" s="165">
        <f>'3rd IA Configuration'!E6</f>
        <v>-387</v>
      </c>
      <c r="C8" s="201">
        <f>'3rd IA Configuration'!E7</f>
        <v>235.9</v>
      </c>
      <c r="D8" s="215">
        <v>-402.09999999999997</v>
      </c>
      <c r="E8" s="166">
        <f t="shared" si="0"/>
        <v>-553.1999999999999</v>
      </c>
      <c r="F8" s="162">
        <v>0</v>
      </c>
      <c r="G8" s="163">
        <v>0</v>
      </c>
      <c r="H8" s="162">
        <v>168.49999999999636</v>
      </c>
      <c r="I8" s="163">
        <v>0</v>
      </c>
      <c r="J8" s="162">
        <v>168.49999999999636</v>
      </c>
      <c r="K8" s="163">
        <v>35.11</v>
      </c>
      <c r="L8" s="162">
        <v>553.1999999999999</v>
      </c>
      <c r="M8" s="163">
        <v>129.74215761821452</v>
      </c>
    </row>
    <row r="9" spans="1:13" s="1" customFormat="1" ht="22.5" customHeight="1">
      <c r="A9" s="164" t="s">
        <v>122</v>
      </c>
      <c r="B9" s="165">
        <f>'3rd IA Configuration'!F6-'3rd IA Configuration'!G6</f>
        <v>-371</v>
      </c>
      <c r="C9" s="201">
        <f>'3rd IA Configuration'!F7-'3rd IA Configuration'!G7</f>
        <v>99.70000000000002</v>
      </c>
      <c r="D9" s="214">
        <v>-206.9</v>
      </c>
      <c r="E9" s="166">
        <f t="shared" si="0"/>
        <v>-478.19999999999993</v>
      </c>
      <c r="F9" s="162">
        <v>0</v>
      </c>
      <c r="G9" s="163">
        <v>0</v>
      </c>
      <c r="H9" s="162">
        <v>338.89999999999964</v>
      </c>
      <c r="I9" s="163">
        <v>0</v>
      </c>
      <c r="J9" s="162">
        <v>338.89999999999964</v>
      </c>
      <c r="K9" s="163">
        <v>42.29</v>
      </c>
      <c r="L9" s="162">
        <v>478.19999999999993</v>
      </c>
      <c r="M9" s="163">
        <v>97.68581805359655</v>
      </c>
    </row>
    <row r="10" spans="1:13" s="1" customFormat="1" ht="22.5" customHeight="1">
      <c r="A10" s="164" t="s">
        <v>27</v>
      </c>
      <c r="B10" s="167">
        <f>'3rd IA Configuration'!G6</f>
        <v>-144</v>
      </c>
      <c r="C10" s="201">
        <f>'3rd IA Configuration'!G7</f>
        <v>82.1</v>
      </c>
      <c r="D10" s="215">
        <v>-16.8</v>
      </c>
      <c r="E10" s="166">
        <f t="shared" si="0"/>
        <v>-78.7</v>
      </c>
      <c r="F10" s="162">
        <v>0</v>
      </c>
      <c r="G10" s="163">
        <v>118.82881684808353</v>
      </c>
      <c r="H10" s="162">
        <v>78.7</v>
      </c>
      <c r="I10" s="163">
        <v>181.83723615712276</v>
      </c>
      <c r="J10" s="217" t="s">
        <v>9</v>
      </c>
      <c r="K10" s="218" t="s">
        <v>9</v>
      </c>
      <c r="L10" s="217" t="s">
        <v>9</v>
      </c>
      <c r="M10" s="218" t="s">
        <v>9</v>
      </c>
    </row>
    <row r="11" spans="1:13" s="1" customFormat="1" ht="22.5" customHeight="1" thickBot="1">
      <c r="A11" s="168" t="s">
        <v>28</v>
      </c>
      <c r="B11" s="169">
        <f>'3rd IA Configuration'!H6</f>
        <v>11</v>
      </c>
      <c r="C11" s="202">
        <f>'3rd IA Configuration'!H7</f>
        <v>38.4</v>
      </c>
      <c r="D11" s="216">
        <v>-37.8</v>
      </c>
      <c r="E11" s="170">
        <f t="shared" si="0"/>
        <v>11.600000000000001</v>
      </c>
      <c r="F11" s="171">
        <v>0</v>
      </c>
      <c r="G11" s="172">
        <v>232.8528404669263</v>
      </c>
      <c r="H11" s="171">
        <v>11.600000000000001</v>
      </c>
      <c r="I11" s="172">
        <v>220.92221789883288</v>
      </c>
      <c r="J11" s="219" t="s">
        <v>9</v>
      </c>
      <c r="K11" s="220" t="s">
        <v>9</v>
      </c>
      <c r="L11" s="219" t="s">
        <v>9</v>
      </c>
      <c r="M11" s="220" t="s">
        <v>9</v>
      </c>
    </row>
    <row r="12" spans="1:13" s="1" customFormat="1" ht="22.5" customHeight="1">
      <c r="A12" s="173" t="s">
        <v>123</v>
      </c>
      <c r="B12" s="174">
        <f>SUM(B5:B11)</f>
        <v>-3578.714289999989</v>
      </c>
      <c r="C12" s="175">
        <f>SUM(C5:C11)</f>
        <v>2006</v>
      </c>
      <c r="D12" s="175">
        <f>SUM(D5:D11)</f>
        <v>-1145.5</v>
      </c>
      <c r="E12" s="237">
        <f>SUM(E5:E11)</f>
        <v>-2718.2142899999885</v>
      </c>
      <c r="I12"/>
      <c r="J12"/>
      <c r="K12"/>
      <c r="L12"/>
      <c r="M12"/>
    </row>
    <row r="13" spans="2:8" ht="22.5" customHeight="1">
      <c r="B13"/>
      <c r="C13"/>
      <c r="D13" s="212" t="s">
        <v>4</v>
      </c>
      <c r="E13"/>
      <c r="F13"/>
      <c r="G13"/>
      <c r="H13"/>
    </row>
    <row r="14" spans="1:12" s="1" customFormat="1" ht="15.75">
      <c r="A14" s="178" t="s">
        <v>124</v>
      </c>
      <c r="B14"/>
      <c r="C14"/>
      <c r="D14"/>
      <c r="H14"/>
      <c r="I14"/>
      <c r="J14"/>
      <c r="K14"/>
      <c r="L14"/>
    </row>
    <row r="15" spans="1:7" ht="18">
      <c r="A15" s="179" t="s">
        <v>125</v>
      </c>
      <c r="B15" s="153"/>
      <c r="C15" s="153"/>
      <c r="D15" s="153"/>
      <c r="E15" s="153"/>
      <c r="G15" s="154"/>
    </row>
    <row r="16" spans="1:7" ht="18">
      <c r="A16" s="179" t="s">
        <v>126</v>
      </c>
      <c r="B16" s="153"/>
      <c r="C16" s="153"/>
      <c r="D16" s="153"/>
      <c r="E16" s="153"/>
      <c r="G16" s="154"/>
    </row>
    <row r="17" ht="15.75">
      <c r="A17" s="179" t="s">
        <v>127</v>
      </c>
    </row>
    <row r="18" ht="12.75">
      <c r="C18" s="176"/>
    </row>
    <row r="19" spans="1:13" s="1" customFormat="1" ht="22.5" customHeight="1">
      <c r="A19" s="136" t="s">
        <v>152</v>
      </c>
      <c r="C19" s="177"/>
      <c r="I19"/>
      <c r="J19"/>
      <c r="K19"/>
      <c r="L19"/>
      <c r="M19"/>
    </row>
    <row r="21" ht="12.75">
      <c r="A21" s="180"/>
    </row>
  </sheetData>
  <sheetProtection/>
  <mergeCells count="2">
    <mergeCell ref="B3:D3"/>
    <mergeCell ref="E3:K3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="75" zoomScaleNormal="75" zoomScaleSheetLayoutView="75" zoomScalePageLayoutView="0" workbookViewId="0" topLeftCell="A1">
      <selection activeCell="A13" sqref="A13"/>
    </sheetView>
  </sheetViews>
  <sheetFormatPr defaultColWidth="30.7109375" defaultRowHeight="12.75"/>
  <cols>
    <col min="1" max="1" width="53.28125" style="127" customWidth="1"/>
    <col min="2" max="2" width="17.421875" style="143" bestFit="1" customWidth="1"/>
    <col min="3" max="3" width="16.28125" style="143" customWidth="1"/>
    <col min="4" max="7" width="15.7109375" style="143" customWidth="1"/>
    <col min="8" max="8" width="15.7109375" style="127" customWidth="1"/>
    <col min="9" max="9" width="18.57421875" style="127" customWidth="1"/>
    <col min="10" max="10" width="15.8515625" style="127" customWidth="1"/>
    <col min="11" max="11" width="10.421875" style="127" bestFit="1" customWidth="1"/>
    <col min="12" max="16384" width="30.7109375" style="127" customWidth="1"/>
  </cols>
  <sheetData>
    <row r="1" spans="1:8" ht="18">
      <c r="A1" s="197" t="s">
        <v>145</v>
      </c>
      <c r="B1" s="145"/>
      <c r="C1" s="145"/>
      <c r="D1" s="145"/>
      <c r="E1" s="146"/>
      <c r="F1" s="145"/>
      <c r="G1" s="147"/>
      <c r="H1" s="2"/>
    </row>
    <row r="2" spans="1:8" ht="15.75">
      <c r="A2" s="145"/>
      <c r="B2" s="145"/>
      <c r="C2" s="145"/>
      <c r="D2" s="145"/>
      <c r="E2" s="146"/>
      <c r="F2" s="145"/>
      <c r="G2" s="147"/>
      <c r="H2" s="2"/>
    </row>
    <row r="3" spans="1:8" ht="16.5" thickBot="1">
      <c r="A3" s="145"/>
      <c r="B3" s="145"/>
      <c r="C3" s="145"/>
      <c r="D3" s="148"/>
      <c r="E3" s="149"/>
      <c r="F3" s="148"/>
      <c r="G3" s="150"/>
      <c r="H3" s="151"/>
    </row>
    <row r="4" spans="1:8" ht="16.5" thickBot="1">
      <c r="A4" s="187"/>
      <c r="B4" s="188" t="s">
        <v>4</v>
      </c>
      <c r="C4" s="246" t="s">
        <v>25</v>
      </c>
      <c r="D4" s="247"/>
      <c r="E4" s="247"/>
      <c r="F4" s="247"/>
      <c r="G4" s="247"/>
      <c r="H4" s="248"/>
    </row>
    <row r="5" spans="1:8" ht="19.5" customHeight="1" thickBot="1">
      <c r="A5" s="133" t="s">
        <v>4</v>
      </c>
      <c r="B5" s="24" t="s">
        <v>5</v>
      </c>
      <c r="C5" s="24" t="s">
        <v>8</v>
      </c>
      <c r="D5" s="24" t="s">
        <v>7</v>
      </c>
      <c r="E5" s="24" t="s">
        <v>6</v>
      </c>
      <c r="F5" s="24" t="s">
        <v>0</v>
      </c>
      <c r="G5" s="24" t="s">
        <v>27</v>
      </c>
      <c r="H5" s="196" t="s">
        <v>28</v>
      </c>
    </row>
    <row r="6" spans="1:11" ht="34.5" customHeight="1">
      <c r="A6" s="194" t="s">
        <v>149</v>
      </c>
      <c r="B6" s="241">
        <f>'3rd IA Parameters'!B18-'2nd IA Parameters'!B18</f>
        <v>-3578.714289999989</v>
      </c>
      <c r="C6" s="195">
        <f>'3rd IA Parameters'!C18-'2nd IA Parameters'!C18</f>
        <v>-1923</v>
      </c>
      <c r="D6" s="195">
        <f>'3rd IA Parameters'!D18-'2nd IA Parameters'!D18</f>
        <v>-1245</v>
      </c>
      <c r="E6" s="195">
        <f>'3rd IA Parameters'!E18-'2nd IA Parameters'!E18</f>
        <v>-387</v>
      </c>
      <c r="F6" s="195">
        <f>'3rd IA Parameters'!F18-'2nd IA Parameters'!F18</f>
        <v>-515</v>
      </c>
      <c r="G6" s="195">
        <f>'3rd IA Parameters'!G18-'2nd IA Parameters'!G18</f>
        <v>-144</v>
      </c>
      <c r="H6" s="195">
        <f>'3rd IA Parameters'!H18-'2nd IA Parameters'!H18</f>
        <v>11</v>
      </c>
      <c r="I6" s="134"/>
      <c r="J6" s="134"/>
      <c r="K6" s="134"/>
    </row>
    <row r="7" spans="1:11" ht="34.5" customHeight="1">
      <c r="A7" s="189" t="s">
        <v>135</v>
      </c>
      <c r="B7" s="190">
        <f>ROUND(0.6*'BRA Parameters'!B19,1)</f>
        <v>2006</v>
      </c>
      <c r="C7" s="190">
        <f>ROUND(0.6*'BRA Parameters'!C19,1)</f>
        <v>1004.3</v>
      </c>
      <c r="D7" s="190">
        <f>ROUND(0.6*'BRA Parameters'!D19,1)</f>
        <v>553.7</v>
      </c>
      <c r="E7" s="190">
        <f>ROUND(0.6*'BRA Parameters'!E19,1)</f>
        <v>235.9</v>
      </c>
      <c r="F7" s="190">
        <f>ROUND(0.6*'BRA Parameters'!F19,1)</f>
        <v>181.8</v>
      </c>
      <c r="G7" s="190">
        <f>ROUND(0.6*'BRA Parameters'!G19,1)</f>
        <v>82.1</v>
      </c>
      <c r="H7" s="190">
        <f>ROUND(0.6*'BRA Parameters'!H19,1)</f>
        <v>38.4</v>
      </c>
      <c r="I7" s="134"/>
      <c r="J7" s="134"/>
      <c r="K7" s="134"/>
    </row>
    <row r="8" spans="1:12" ht="34.5" customHeight="1">
      <c r="A8" s="192" t="s">
        <v>136</v>
      </c>
      <c r="B8" s="242">
        <f>B6+B7</f>
        <v>-1572.714289999989</v>
      </c>
      <c r="C8" s="191">
        <f aca="true" t="shared" si="0" ref="C8:H8">C6+C7</f>
        <v>-918.7</v>
      </c>
      <c r="D8" s="191">
        <f t="shared" si="0"/>
        <v>-691.3</v>
      </c>
      <c r="E8" s="191">
        <f t="shared" si="0"/>
        <v>-151.1</v>
      </c>
      <c r="F8" s="191">
        <f t="shared" si="0"/>
        <v>-333.2</v>
      </c>
      <c r="G8" s="191">
        <f t="shared" si="0"/>
        <v>-61.900000000000006</v>
      </c>
      <c r="H8" s="191">
        <f t="shared" si="0"/>
        <v>49.4</v>
      </c>
      <c r="L8" s="135" t="s">
        <v>4</v>
      </c>
    </row>
    <row r="9" spans="1:12" ht="34.5" customHeight="1">
      <c r="A9" s="192" t="s">
        <v>137</v>
      </c>
      <c r="B9" s="193" t="s">
        <v>9</v>
      </c>
      <c r="C9" s="198">
        <v>515</v>
      </c>
      <c r="D9" s="198">
        <v>0</v>
      </c>
      <c r="E9" s="198">
        <v>958.5</v>
      </c>
      <c r="F9" s="198">
        <v>572.1</v>
      </c>
      <c r="G9" s="198">
        <v>62.8</v>
      </c>
      <c r="H9" s="198">
        <v>155.3</v>
      </c>
      <c r="I9" s="136" t="s">
        <v>4</v>
      </c>
      <c r="L9" s="135"/>
    </row>
    <row r="10" spans="1:9" ht="19.5" customHeight="1">
      <c r="A10" s="2" t="s">
        <v>4</v>
      </c>
      <c r="F10" s="143" t="s">
        <v>4</v>
      </c>
      <c r="G10" s="143" t="s">
        <v>4</v>
      </c>
      <c r="H10" s="127" t="s">
        <v>4</v>
      </c>
      <c r="I10" s="136"/>
    </row>
    <row r="11" spans="1:9" ht="19.5" customHeight="1">
      <c r="A11" s="249" t="s">
        <v>138</v>
      </c>
      <c r="B11" s="249"/>
      <c r="C11" s="249"/>
      <c r="D11" s="249"/>
      <c r="E11" s="249"/>
      <c r="F11" s="249"/>
      <c r="G11" s="249"/>
      <c r="H11" s="249"/>
      <c r="I11" s="136"/>
    </row>
    <row r="12" spans="1:8" ht="19.5" customHeight="1">
      <c r="A12" s="143"/>
      <c r="G12" s="127"/>
      <c r="H12" s="136"/>
    </row>
    <row r="13" spans="1:7" ht="19.5" customHeight="1">
      <c r="A13" s="136" t="s">
        <v>152</v>
      </c>
      <c r="G13" s="127"/>
    </row>
    <row r="14" spans="1:7" ht="18" customHeight="1">
      <c r="A14" s="2" t="s">
        <v>4</v>
      </c>
      <c r="G14" s="127"/>
    </row>
    <row r="15" spans="1:11" s="137" customFormat="1" ht="15.75">
      <c r="A15" s="143"/>
      <c r="B15" s="143"/>
      <c r="C15" s="143"/>
      <c r="D15" s="143"/>
      <c r="E15" s="143"/>
      <c r="F15" s="143"/>
      <c r="G15" s="127"/>
      <c r="H15" s="127"/>
      <c r="I15" s="127"/>
      <c r="K15" s="138" t="s">
        <v>4</v>
      </c>
    </row>
    <row r="16" spans="1:9" s="2" customFormat="1" ht="19.5" customHeight="1">
      <c r="A16" s="143"/>
      <c r="B16" s="143"/>
      <c r="C16" s="143"/>
      <c r="D16" s="143"/>
      <c r="E16" s="143"/>
      <c r="F16" s="143"/>
      <c r="G16" s="127"/>
      <c r="H16" s="127"/>
      <c r="I16" s="127"/>
    </row>
    <row r="17" spans="2:11" s="2" customFormat="1" ht="19.5" customHeight="1">
      <c r="B17" s="143"/>
      <c r="C17" s="143"/>
      <c r="D17" s="143"/>
      <c r="E17" s="143"/>
      <c r="F17" s="143"/>
      <c r="G17" s="143"/>
      <c r="H17" s="127"/>
      <c r="I17" s="127"/>
      <c r="J17" s="127"/>
      <c r="K17" s="49" t="s">
        <v>4</v>
      </c>
    </row>
    <row r="18" spans="1:9" s="2" customFormat="1" ht="19.5" customHeight="1">
      <c r="A18" s="143"/>
      <c r="B18" s="143"/>
      <c r="C18" s="143"/>
      <c r="D18" s="143"/>
      <c r="E18" s="143"/>
      <c r="F18" s="143"/>
      <c r="G18" s="127"/>
      <c r="H18" s="127"/>
      <c r="I18" s="127"/>
    </row>
    <row r="19" spans="2:10" s="2" customFormat="1" ht="19.5" customHeight="1">
      <c r="B19" s="143"/>
      <c r="C19" s="143"/>
      <c r="D19" s="143"/>
      <c r="E19" s="143"/>
      <c r="F19" s="143"/>
      <c r="G19" s="143"/>
      <c r="H19" s="127"/>
      <c r="I19" s="127"/>
      <c r="J19" s="127"/>
    </row>
    <row r="20" spans="2:10" s="2" customFormat="1" ht="19.5" customHeight="1">
      <c r="B20" s="143"/>
      <c r="C20" s="143"/>
      <c r="D20" s="143"/>
      <c r="E20" s="143"/>
      <c r="F20" s="143"/>
      <c r="G20" s="143"/>
      <c r="H20" s="127"/>
      <c r="I20" s="127"/>
      <c r="J20" s="127"/>
    </row>
    <row r="21" spans="2:10" s="2" customFormat="1" ht="19.5" customHeight="1">
      <c r="B21" s="143"/>
      <c r="C21" s="143"/>
      <c r="D21" s="143"/>
      <c r="E21" s="143"/>
      <c r="F21" s="143"/>
      <c r="G21" s="143"/>
      <c r="H21" s="127"/>
      <c r="I21" s="127"/>
      <c r="J21" s="127"/>
    </row>
    <row r="22" spans="1:10" s="2" customFormat="1" ht="19.5" customHeight="1">
      <c r="A22" s="127"/>
      <c r="B22" s="143"/>
      <c r="C22" s="143"/>
      <c r="D22" s="143"/>
      <c r="E22" s="143"/>
      <c r="F22" s="143"/>
      <c r="G22" s="143"/>
      <c r="H22" s="127"/>
      <c r="I22" s="127"/>
      <c r="J22" s="127"/>
    </row>
    <row r="23" spans="1:10" s="2" customFormat="1" ht="19.5" customHeight="1">
      <c r="A23" s="127"/>
      <c r="B23" s="143"/>
      <c r="C23" s="143"/>
      <c r="D23" s="143"/>
      <c r="E23" s="143"/>
      <c r="F23" s="143"/>
      <c r="G23" s="143"/>
      <c r="H23" s="127"/>
      <c r="I23" s="127"/>
      <c r="J23" s="127"/>
    </row>
    <row r="24" spans="1:10" s="2" customFormat="1" ht="19.5" customHeight="1">
      <c r="A24" s="127"/>
      <c r="B24" s="143"/>
      <c r="C24" s="143"/>
      <c r="D24" s="143"/>
      <c r="E24" s="143"/>
      <c r="F24" s="143"/>
      <c r="G24" s="143"/>
      <c r="H24" s="127"/>
      <c r="I24" s="127"/>
      <c r="J24" s="127"/>
    </row>
    <row r="25" spans="1:10" s="2" customFormat="1" ht="19.5" customHeight="1">
      <c r="A25" s="127"/>
      <c r="B25" s="143"/>
      <c r="C25" s="143"/>
      <c r="D25" s="143"/>
      <c r="E25" s="143"/>
      <c r="F25" s="143"/>
      <c r="G25" s="143"/>
      <c r="H25" s="127"/>
      <c r="I25" s="127"/>
      <c r="J25" s="127"/>
    </row>
    <row r="26" spans="1:10" s="2" customFormat="1" ht="19.5" customHeight="1">
      <c r="A26" s="127"/>
      <c r="B26" s="143"/>
      <c r="C26" s="143"/>
      <c r="D26" s="143"/>
      <c r="E26" s="143"/>
      <c r="F26" s="143"/>
      <c r="G26" s="143"/>
      <c r="H26" s="127"/>
      <c r="I26" s="127"/>
      <c r="J26" s="127"/>
    </row>
    <row r="27" spans="1:10" s="2" customFormat="1" ht="19.5" customHeight="1">
      <c r="A27" s="127"/>
      <c r="B27" s="143"/>
      <c r="C27" s="143"/>
      <c r="D27" s="143"/>
      <c r="E27" s="143"/>
      <c r="F27" s="143"/>
      <c r="G27" s="143"/>
      <c r="H27" s="127"/>
      <c r="I27" s="127"/>
      <c r="J27" s="127"/>
    </row>
    <row r="28" spans="1:10" s="2" customFormat="1" ht="19.5" customHeight="1">
      <c r="A28" s="127"/>
      <c r="B28" s="143"/>
      <c r="C28" s="143"/>
      <c r="D28" s="143"/>
      <c r="E28" s="143"/>
      <c r="F28" s="143"/>
      <c r="G28" s="143"/>
      <c r="H28" s="127"/>
      <c r="I28" s="127"/>
      <c r="J28" s="127"/>
    </row>
    <row r="29" spans="1:10" s="2" customFormat="1" ht="19.5" customHeight="1">
      <c r="A29" s="127"/>
      <c r="B29" s="143"/>
      <c r="C29" s="143"/>
      <c r="D29" s="143"/>
      <c r="E29" s="143"/>
      <c r="F29" s="143"/>
      <c r="G29" s="143"/>
      <c r="H29" s="127"/>
      <c r="I29" s="127"/>
      <c r="J29" s="127"/>
    </row>
    <row r="30" spans="1:10" s="2" customFormat="1" ht="19.5" customHeight="1">
      <c r="A30" s="127"/>
      <c r="B30" s="143"/>
      <c r="C30" s="143"/>
      <c r="D30" s="143"/>
      <c r="E30" s="143"/>
      <c r="F30" s="143"/>
      <c r="G30" s="143"/>
      <c r="H30" s="127"/>
      <c r="I30" s="127"/>
      <c r="J30" s="127"/>
    </row>
    <row r="31" spans="1:10" s="2" customFormat="1" ht="19.5" customHeight="1">
      <c r="A31" s="127"/>
      <c r="B31" s="143"/>
      <c r="C31" s="143"/>
      <c r="D31" s="143"/>
      <c r="E31" s="143"/>
      <c r="F31" s="143"/>
      <c r="G31" s="143"/>
      <c r="H31" s="127"/>
      <c r="I31" s="127"/>
      <c r="J31" s="127"/>
    </row>
    <row r="32" spans="1:10" s="2" customFormat="1" ht="19.5" customHeight="1">
      <c r="A32" s="127"/>
      <c r="B32" s="143"/>
      <c r="C32" s="143"/>
      <c r="D32" s="143"/>
      <c r="E32" s="143"/>
      <c r="F32" s="143"/>
      <c r="G32" s="143"/>
      <c r="H32" s="127"/>
      <c r="I32" s="127"/>
      <c r="J32" s="127"/>
    </row>
    <row r="33" spans="1:10" s="2" customFormat="1" ht="19.5" customHeight="1">
      <c r="A33" s="127"/>
      <c r="B33" s="143"/>
      <c r="C33" s="143"/>
      <c r="D33" s="143"/>
      <c r="E33" s="143"/>
      <c r="F33" s="143"/>
      <c r="G33" s="143"/>
      <c r="H33" s="127"/>
      <c r="I33" s="127"/>
      <c r="J33" s="127"/>
    </row>
    <row r="34" spans="1:10" s="2" customFormat="1" ht="19.5" customHeight="1">
      <c r="A34" s="127"/>
      <c r="B34" s="143"/>
      <c r="C34" s="143"/>
      <c r="D34" s="143"/>
      <c r="E34" s="143"/>
      <c r="F34" s="143"/>
      <c r="G34" s="143"/>
      <c r="H34" s="127"/>
      <c r="I34" s="127"/>
      <c r="J34" s="127"/>
    </row>
    <row r="35" spans="1:10" s="2" customFormat="1" ht="19.5" customHeight="1">
      <c r="A35" s="127"/>
      <c r="B35" s="143"/>
      <c r="C35" s="143"/>
      <c r="D35" s="143"/>
      <c r="E35" s="143"/>
      <c r="F35" s="143"/>
      <c r="G35" s="143"/>
      <c r="H35" s="127"/>
      <c r="I35" s="127"/>
      <c r="J35" s="127"/>
    </row>
    <row r="36" spans="1:10" s="2" customFormat="1" ht="19.5" customHeight="1">
      <c r="A36" s="127"/>
      <c r="B36" s="143"/>
      <c r="C36" s="143"/>
      <c r="D36" s="143"/>
      <c r="E36" s="143"/>
      <c r="F36" s="143"/>
      <c r="G36" s="143"/>
      <c r="H36" s="127"/>
      <c r="I36" s="127"/>
      <c r="J36" s="127"/>
    </row>
    <row r="37" spans="1:10" s="2" customFormat="1" ht="19.5" customHeight="1">
      <c r="A37" s="127"/>
      <c r="B37" s="143"/>
      <c r="C37" s="143"/>
      <c r="D37" s="143"/>
      <c r="E37" s="143"/>
      <c r="F37" s="143"/>
      <c r="G37" s="143"/>
      <c r="H37" s="127"/>
      <c r="I37" s="127"/>
      <c r="J37" s="127"/>
    </row>
    <row r="38" spans="1:10" s="2" customFormat="1" ht="19.5" customHeight="1">
      <c r="A38" s="127"/>
      <c r="B38" s="143"/>
      <c r="C38" s="143"/>
      <c r="D38" s="143"/>
      <c r="E38" s="143"/>
      <c r="F38" s="143"/>
      <c r="G38" s="143"/>
      <c r="H38" s="127"/>
      <c r="I38" s="127"/>
      <c r="J38" s="127"/>
    </row>
    <row r="39" spans="1:10" s="2" customFormat="1" ht="19.5" customHeight="1">
      <c r="A39" s="127"/>
      <c r="B39" s="143"/>
      <c r="C39" s="143"/>
      <c r="D39" s="143"/>
      <c r="E39" s="143"/>
      <c r="F39" s="143"/>
      <c r="G39" s="143"/>
      <c r="H39" s="127"/>
      <c r="I39" s="127"/>
      <c r="J39" s="127"/>
    </row>
    <row r="42" ht="15.75" customHeight="1"/>
  </sheetData>
  <sheetProtection/>
  <mergeCells count="2">
    <mergeCell ref="C4:H4"/>
    <mergeCell ref="A11:H11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6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80" zoomScaleNormal="80" zoomScalePageLayoutView="0" workbookViewId="0" topLeftCell="A1">
      <selection activeCell="B34" sqref="B34"/>
    </sheetView>
  </sheetViews>
  <sheetFormatPr defaultColWidth="9.140625" defaultRowHeight="12.75"/>
  <cols>
    <col min="1" max="1" width="50.7109375" style="0" customWidth="1"/>
    <col min="2" max="9" width="16.7109375" style="0" customWidth="1"/>
  </cols>
  <sheetData>
    <row r="1" spans="1:8" ht="18.75" thickBot="1">
      <c r="A1" s="60" t="s">
        <v>142</v>
      </c>
      <c r="B1" s="5"/>
      <c r="C1" s="5"/>
      <c r="D1" s="5"/>
      <c r="E1" s="77" t="s">
        <v>4</v>
      </c>
      <c r="F1" s="5"/>
      <c r="G1" s="76" t="s">
        <v>4</v>
      </c>
      <c r="H1" s="42"/>
    </row>
    <row r="2" spans="1:8" ht="18.75" thickBot="1">
      <c r="A2" s="73" t="s">
        <v>4</v>
      </c>
      <c r="B2" s="5"/>
      <c r="C2" s="5"/>
      <c r="D2" s="5"/>
      <c r="E2" s="44"/>
      <c r="F2" s="5"/>
      <c r="G2" s="5"/>
      <c r="H2" s="42"/>
    </row>
    <row r="3" spans="1:8" ht="18">
      <c r="A3" s="18"/>
      <c r="B3" s="61" t="s">
        <v>5</v>
      </c>
      <c r="C3" s="250" t="s">
        <v>23</v>
      </c>
      <c r="D3" s="250"/>
      <c r="E3" s="250"/>
      <c r="F3" s="250"/>
      <c r="G3" s="250"/>
      <c r="H3" s="251"/>
    </row>
    <row r="4" spans="1:8" ht="15">
      <c r="A4" s="16" t="s">
        <v>18</v>
      </c>
      <c r="B4" s="55">
        <v>0.156</v>
      </c>
      <c r="C4" s="252" t="s">
        <v>108</v>
      </c>
      <c r="D4" s="252"/>
      <c r="E4" s="252"/>
      <c r="F4" s="252"/>
      <c r="G4" s="252"/>
      <c r="H4" s="253"/>
    </row>
    <row r="5" spans="1:8" ht="15">
      <c r="A5" s="16" t="s">
        <v>19</v>
      </c>
      <c r="B5" s="56">
        <v>0.0598</v>
      </c>
      <c r="C5" s="252" t="s">
        <v>150</v>
      </c>
      <c r="D5" s="252"/>
      <c r="E5" s="252"/>
      <c r="F5" s="252"/>
      <c r="G5" s="252"/>
      <c r="H5" s="253"/>
    </row>
    <row r="6" spans="1:8" ht="15">
      <c r="A6" s="16" t="s">
        <v>20</v>
      </c>
      <c r="B6" s="57">
        <v>1.0869</v>
      </c>
      <c r="C6" s="252" t="s">
        <v>143</v>
      </c>
      <c r="D6" s="252"/>
      <c r="E6" s="252"/>
      <c r="F6" s="252"/>
      <c r="G6" s="252"/>
      <c r="H6" s="253"/>
    </row>
    <row r="7" spans="1:8" ht="15">
      <c r="A7" s="16" t="s">
        <v>24</v>
      </c>
      <c r="B7" s="58">
        <v>0.954</v>
      </c>
      <c r="C7" s="252" t="s">
        <v>4</v>
      </c>
      <c r="D7" s="252"/>
      <c r="E7" s="252"/>
      <c r="F7" s="252"/>
      <c r="G7" s="252"/>
      <c r="H7" s="253"/>
    </row>
    <row r="8" spans="1:8" ht="15">
      <c r="A8" s="16" t="s">
        <v>144</v>
      </c>
      <c r="B8" s="29">
        <v>135953.2</v>
      </c>
      <c r="C8" s="257" t="s">
        <v>4</v>
      </c>
      <c r="D8" s="258"/>
      <c r="E8" s="258"/>
      <c r="F8" s="258"/>
      <c r="G8" s="258"/>
      <c r="H8" s="259"/>
    </row>
    <row r="9" spans="1:8" ht="15">
      <c r="A9" s="16" t="s">
        <v>26</v>
      </c>
      <c r="B9" s="74">
        <f>0*'BRA Parameters'!B19</f>
        <v>0</v>
      </c>
      <c r="C9" s="260"/>
      <c r="D9" s="261"/>
      <c r="E9" s="261"/>
      <c r="F9" s="261"/>
      <c r="G9" s="261"/>
      <c r="H9" s="262"/>
    </row>
    <row r="10" spans="1:8" ht="16.5" thickBot="1">
      <c r="A10" s="75" t="s">
        <v>4</v>
      </c>
      <c r="B10" s="79" t="s">
        <v>4</v>
      </c>
      <c r="C10" s="263" t="s">
        <v>4</v>
      </c>
      <c r="D10" s="264"/>
      <c r="E10" s="264"/>
      <c r="F10" s="264"/>
      <c r="G10" s="264"/>
      <c r="H10" s="265"/>
    </row>
    <row r="11" spans="2:8" ht="16.5" thickBot="1">
      <c r="B11" s="221" t="s">
        <v>4</v>
      </c>
      <c r="C11" s="254" t="s">
        <v>25</v>
      </c>
      <c r="D11" s="255"/>
      <c r="E11" s="255"/>
      <c r="F11" s="255"/>
      <c r="G11" s="255"/>
      <c r="H11" s="256"/>
    </row>
    <row r="12" spans="1:8" ht="16.5" thickBot="1">
      <c r="A12" s="17" t="s">
        <v>4</v>
      </c>
      <c r="B12" s="24" t="s">
        <v>5</v>
      </c>
      <c r="C12" s="24" t="s">
        <v>8</v>
      </c>
      <c r="D12" s="24" t="s">
        <v>7</v>
      </c>
      <c r="E12" s="24" t="s">
        <v>6</v>
      </c>
      <c r="F12" s="24" t="s">
        <v>0</v>
      </c>
      <c r="G12" s="24" t="s">
        <v>27</v>
      </c>
      <c r="H12" s="15" t="s">
        <v>28</v>
      </c>
    </row>
    <row r="13" spans="1:8" ht="15.75" customHeight="1">
      <c r="A13" s="19" t="s">
        <v>1</v>
      </c>
      <c r="B13" s="25" t="s">
        <v>9</v>
      </c>
      <c r="C13" s="25">
        <v>-1610</v>
      </c>
      <c r="D13" s="29">
        <v>3800</v>
      </c>
      <c r="E13" s="29">
        <v>4580</v>
      </c>
      <c r="F13" s="29">
        <v>4470</v>
      </c>
      <c r="G13" s="29">
        <v>1190</v>
      </c>
      <c r="H13" s="6">
        <v>1470</v>
      </c>
    </row>
    <row r="14" spans="1:8" ht="15.75" customHeight="1">
      <c r="A14" s="20" t="s">
        <v>3</v>
      </c>
      <c r="B14" s="25" t="s">
        <v>9</v>
      </c>
      <c r="C14" s="25">
        <v>6098</v>
      </c>
      <c r="D14" s="29">
        <v>7624</v>
      </c>
      <c r="E14" s="29">
        <v>6950</v>
      </c>
      <c r="F14" s="29">
        <v>6077</v>
      </c>
      <c r="G14" s="29">
        <v>2675</v>
      </c>
      <c r="H14" s="6">
        <v>1746</v>
      </c>
    </row>
    <row r="15" spans="1:8" ht="15.75" customHeight="1">
      <c r="A15" s="21" t="s">
        <v>2</v>
      </c>
      <c r="B15" s="25">
        <f>ROUND((B8*B6),1)</f>
        <v>147767.5</v>
      </c>
      <c r="C15" s="25">
        <v>67623</v>
      </c>
      <c r="D15" s="30">
        <v>37421</v>
      </c>
      <c r="E15" s="30">
        <v>16500</v>
      </c>
      <c r="F15" s="30">
        <v>12292</v>
      </c>
      <c r="G15" s="30">
        <v>6106</v>
      </c>
      <c r="H15" s="7">
        <v>2971</v>
      </c>
    </row>
    <row r="16" spans="1:8" ht="15.75" customHeight="1">
      <c r="A16" s="20" t="s">
        <v>29</v>
      </c>
      <c r="B16" s="25">
        <v>20732.2</v>
      </c>
      <c r="C16" s="25">
        <v>0</v>
      </c>
      <c r="D16" s="30">
        <v>0</v>
      </c>
      <c r="E16" s="30">
        <v>0</v>
      </c>
      <c r="F16" s="30">
        <v>0</v>
      </c>
      <c r="G16" s="30">
        <v>0</v>
      </c>
      <c r="H16" s="7">
        <v>0</v>
      </c>
    </row>
    <row r="17" spans="1:8" ht="15.75" customHeight="1">
      <c r="A17" s="20" t="s">
        <v>37</v>
      </c>
      <c r="B17" s="25">
        <f>B16*$B$6</f>
        <v>22533.82818</v>
      </c>
      <c r="C17" s="25">
        <f aca="true" t="shared" si="0" ref="C17:H17">C16*$B$6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8">
        <f t="shared" si="0"/>
        <v>0</v>
      </c>
    </row>
    <row r="18" spans="1:8" ht="15.75" customHeight="1">
      <c r="A18" s="37" t="s">
        <v>30</v>
      </c>
      <c r="B18" s="35">
        <f>B15-B17</f>
        <v>125233.67182</v>
      </c>
      <c r="C18" s="35">
        <f aca="true" t="shared" si="1" ref="C18:H18">C15-C17</f>
        <v>67623</v>
      </c>
      <c r="D18" s="35">
        <f t="shared" si="1"/>
        <v>37421</v>
      </c>
      <c r="E18" s="35">
        <f t="shared" si="1"/>
        <v>16500</v>
      </c>
      <c r="F18" s="35">
        <f t="shared" si="1"/>
        <v>12292</v>
      </c>
      <c r="G18" s="35">
        <f t="shared" si="1"/>
        <v>6106</v>
      </c>
      <c r="H18" s="36">
        <f t="shared" si="1"/>
        <v>2971</v>
      </c>
    </row>
    <row r="19" spans="1:8" ht="15.75" customHeight="1">
      <c r="A19" s="21" t="s">
        <v>26</v>
      </c>
      <c r="B19" s="25">
        <f>B9</f>
        <v>0</v>
      </c>
      <c r="C19" s="25">
        <f>0*'BRA Parameters'!C19</f>
        <v>0</v>
      </c>
      <c r="D19" s="25">
        <f>0*'BRA Parameters'!D19</f>
        <v>0</v>
      </c>
      <c r="E19" s="25">
        <f>0*'BRA Parameters'!E19</f>
        <v>0</v>
      </c>
      <c r="F19" s="25">
        <f>0*'BRA Parameters'!F19</f>
        <v>0</v>
      </c>
      <c r="G19" s="25">
        <f>0*'BRA Parameters'!G19</f>
        <v>0</v>
      </c>
      <c r="H19" s="25">
        <f>0*'BRA Parameters'!H19</f>
        <v>0</v>
      </c>
    </row>
    <row r="20" spans="1:8" ht="15.75" customHeight="1">
      <c r="A20" s="20" t="s">
        <v>11</v>
      </c>
      <c r="B20" s="52">
        <v>112868</v>
      </c>
      <c r="C20" s="52">
        <v>112868</v>
      </c>
      <c r="D20" s="52">
        <v>122040</v>
      </c>
      <c r="E20" s="52">
        <v>112868</v>
      </c>
      <c r="F20" s="52">
        <v>122040</v>
      </c>
      <c r="G20" s="52">
        <v>122040</v>
      </c>
      <c r="H20" s="53">
        <v>122040</v>
      </c>
    </row>
    <row r="21" spans="1:8" ht="15.75" customHeight="1">
      <c r="A21" s="20" t="s">
        <v>10</v>
      </c>
      <c r="B21" s="52">
        <f>16386+2199</f>
        <v>18585</v>
      </c>
      <c r="C21" s="52">
        <f>50417+2199</f>
        <v>52616</v>
      </c>
      <c r="D21" s="52">
        <f>47275+2199</f>
        <v>49474</v>
      </c>
      <c r="E21" s="52">
        <f>50417+2199</f>
        <v>52616</v>
      </c>
      <c r="F21" s="52">
        <f>47275+2199</f>
        <v>49474</v>
      </c>
      <c r="G21" s="52">
        <f>47275+2199</f>
        <v>49474</v>
      </c>
      <c r="H21" s="53">
        <f>47275+2199</f>
        <v>49474</v>
      </c>
    </row>
    <row r="22" spans="1:8" ht="15.75" customHeight="1">
      <c r="A22" s="20" t="s">
        <v>31</v>
      </c>
      <c r="B22" s="26">
        <f>(B20-B21)/365</f>
        <v>258.3095890410959</v>
      </c>
      <c r="C22" s="26">
        <f aca="true" t="shared" si="2" ref="C22:H22">(C20-C21)/365</f>
        <v>165.07397260273973</v>
      </c>
      <c r="D22" s="26">
        <f t="shared" si="2"/>
        <v>198.81095890410958</v>
      </c>
      <c r="E22" s="26">
        <f t="shared" si="2"/>
        <v>165.07397260273973</v>
      </c>
      <c r="F22" s="26">
        <f t="shared" si="2"/>
        <v>198.81095890410958</v>
      </c>
      <c r="G22" s="26">
        <f t="shared" si="2"/>
        <v>198.81095890410958</v>
      </c>
      <c r="H22" s="12">
        <f t="shared" si="2"/>
        <v>198.81095890410958</v>
      </c>
    </row>
    <row r="23" spans="1:8" ht="15.75" customHeight="1">
      <c r="A23" s="20" t="s">
        <v>32</v>
      </c>
      <c r="B23" s="26">
        <f aca="true" t="shared" si="3" ref="B23:G23">ROUND((B22/(1-$B$5)),2)</f>
        <v>274.74</v>
      </c>
      <c r="C23" s="26">
        <f t="shared" si="3"/>
        <v>175.57</v>
      </c>
      <c r="D23" s="26">
        <f t="shared" si="3"/>
        <v>211.46</v>
      </c>
      <c r="E23" s="26">
        <f t="shared" si="3"/>
        <v>175.57</v>
      </c>
      <c r="F23" s="26">
        <f t="shared" si="3"/>
        <v>211.46</v>
      </c>
      <c r="G23" s="26">
        <f t="shared" si="3"/>
        <v>211.46</v>
      </c>
      <c r="H23" s="46">
        <f>ROUND(H22/(1-$B$5),2)</f>
        <v>211.46</v>
      </c>
    </row>
    <row r="24" spans="1:8" ht="15.75" customHeight="1">
      <c r="A24" s="38" t="s">
        <v>33</v>
      </c>
      <c r="B24" s="39"/>
      <c r="C24" s="39"/>
      <c r="D24" s="39"/>
      <c r="E24" s="39"/>
      <c r="F24" s="39"/>
      <c r="G24" s="39"/>
      <c r="H24" s="45"/>
    </row>
    <row r="25" spans="1:8" ht="15.75" customHeight="1">
      <c r="A25" s="20" t="s">
        <v>12</v>
      </c>
      <c r="B25" s="26">
        <f>ROUND(B$23*1.5,2)</f>
        <v>412.11</v>
      </c>
      <c r="C25" s="26">
        <f aca="true" t="shared" si="4" ref="C25:H25">ROUND(C$23*1.5,2)</f>
        <v>263.36</v>
      </c>
      <c r="D25" s="26">
        <f t="shared" si="4"/>
        <v>317.19</v>
      </c>
      <c r="E25" s="26">
        <f t="shared" si="4"/>
        <v>263.36</v>
      </c>
      <c r="F25" s="26">
        <f t="shared" si="4"/>
        <v>317.19</v>
      </c>
      <c r="G25" s="26">
        <f t="shared" si="4"/>
        <v>317.19</v>
      </c>
      <c r="H25" s="46">
        <f t="shared" si="4"/>
        <v>317.19</v>
      </c>
    </row>
    <row r="26" spans="1:8" ht="15.75" customHeight="1">
      <c r="A26" s="20" t="s">
        <v>13</v>
      </c>
      <c r="B26" s="26">
        <f>ROUND(B$23,2)</f>
        <v>274.74</v>
      </c>
      <c r="C26" s="26">
        <f aca="true" t="shared" si="5" ref="C26:H26">ROUND(C$23,2)</f>
        <v>175.57</v>
      </c>
      <c r="D26" s="26">
        <f t="shared" si="5"/>
        <v>211.46</v>
      </c>
      <c r="E26" s="26">
        <f t="shared" si="5"/>
        <v>175.57</v>
      </c>
      <c r="F26" s="26">
        <f t="shared" si="5"/>
        <v>211.46</v>
      </c>
      <c r="G26" s="26">
        <f t="shared" si="5"/>
        <v>211.46</v>
      </c>
      <c r="H26" s="46">
        <f t="shared" si="5"/>
        <v>211.46</v>
      </c>
    </row>
    <row r="27" spans="1:8" ht="15.75" customHeight="1">
      <c r="A27" s="20" t="s">
        <v>14</v>
      </c>
      <c r="B27" s="26">
        <f>ROUND(B$23*0.2,2)</f>
        <v>54.95</v>
      </c>
      <c r="C27" s="26">
        <f aca="true" t="shared" si="6" ref="C27:H27">ROUND(C$23*0.2,2)</f>
        <v>35.11</v>
      </c>
      <c r="D27" s="26">
        <f t="shared" si="6"/>
        <v>42.29</v>
      </c>
      <c r="E27" s="26">
        <f t="shared" si="6"/>
        <v>35.11</v>
      </c>
      <c r="F27" s="26">
        <f t="shared" si="6"/>
        <v>42.29</v>
      </c>
      <c r="G27" s="26">
        <f t="shared" si="6"/>
        <v>42.29</v>
      </c>
      <c r="H27" s="46">
        <f t="shared" si="6"/>
        <v>42.29</v>
      </c>
    </row>
    <row r="28" spans="1:8" ht="15.75" customHeight="1">
      <c r="A28" s="20" t="s">
        <v>15</v>
      </c>
      <c r="B28" s="25">
        <f>ROUND(B$18*(1+$B$4-3%)/(1+$B$4)-B19,1)</f>
        <v>121983.7</v>
      </c>
      <c r="C28" s="25">
        <f aca="true" t="shared" si="7" ref="C28:H28">ROUND(C$18*(1+$B$4-3%)/(1+$B$4)-C19,1)</f>
        <v>65868.1</v>
      </c>
      <c r="D28" s="25">
        <f t="shared" si="7"/>
        <v>36449.9</v>
      </c>
      <c r="E28" s="25">
        <f t="shared" si="7"/>
        <v>16071.8</v>
      </c>
      <c r="F28" s="25">
        <f t="shared" si="7"/>
        <v>11973</v>
      </c>
      <c r="G28" s="25">
        <f t="shared" si="7"/>
        <v>5947.5</v>
      </c>
      <c r="H28" s="8">
        <f t="shared" si="7"/>
        <v>2893.9</v>
      </c>
    </row>
    <row r="29" spans="1:8" ht="15.75" customHeight="1">
      <c r="A29" s="20" t="s">
        <v>16</v>
      </c>
      <c r="B29" s="25">
        <f>ROUND(B$18*(1+$B$4+1%)/(1+$B$4)-B19,1)</f>
        <v>126317</v>
      </c>
      <c r="C29" s="25">
        <f aca="true" t="shared" si="8" ref="C29:H29">ROUND(C$18*(1+$B$4+1%)/(1+$B$4)-C19,1)</f>
        <v>68208</v>
      </c>
      <c r="D29" s="25">
        <f t="shared" si="8"/>
        <v>37744.7</v>
      </c>
      <c r="E29" s="25">
        <f t="shared" si="8"/>
        <v>16642.7</v>
      </c>
      <c r="F29" s="25">
        <f t="shared" si="8"/>
        <v>12398.3</v>
      </c>
      <c r="G29" s="25">
        <f t="shared" si="8"/>
        <v>6158.8</v>
      </c>
      <c r="H29" s="8">
        <f t="shared" si="8"/>
        <v>2996.7</v>
      </c>
    </row>
    <row r="30" spans="1:8" ht="15.75" customHeight="1">
      <c r="A30" s="20" t="s">
        <v>17</v>
      </c>
      <c r="B30" s="25">
        <f>ROUND(B$18*(1+$B$4+5%)/(1+$B$4)-B19,1)</f>
        <v>130650.4</v>
      </c>
      <c r="C30" s="25">
        <f aca="true" t="shared" si="9" ref="C30:H30">ROUND(C$18*(1+$B$4+5%)/(1+$B$4)-C19,1)</f>
        <v>70547.9</v>
      </c>
      <c r="D30" s="25">
        <f t="shared" si="9"/>
        <v>39039.6</v>
      </c>
      <c r="E30" s="25">
        <f t="shared" si="9"/>
        <v>17213.7</v>
      </c>
      <c r="F30" s="25">
        <f t="shared" si="9"/>
        <v>12823.7</v>
      </c>
      <c r="G30" s="25">
        <f t="shared" si="9"/>
        <v>6370.1</v>
      </c>
      <c r="H30" s="8">
        <f t="shared" si="9"/>
        <v>3099.5</v>
      </c>
    </row>
    <row r="31" spans="1:8" ht="15.75" customHeight="1" thickBot="1">
      <c r="A31" s="22" t="s">
        <v>22</v>
      </c>
      <c r="B31" s="40" t="s">
        <v>9</v>
      </c>
      <c r="C31" s="27" t="s">
        <v>9</v>
      </c>
      <c r="D31" s="27" t="s">
        <v>9</v>
      </c>
      <c r="E31" s="27" t="s">
        <v>9</v>
      </c>
      <c r="F31" s="27" t="s">
        <v>9</v>
      </c>
      <c r="G31" s="27" t="s">
        <v>9</v>
      </c>
      <c r="H31" s="13" t="s">
        <v>9</v>
      </c>
    </row>
    <row r="32" spans="1:8" ht="15.75" customHeight="1" thickBot="1">
      <c r="A32" s="19" t="s">
        <v>34</v>
      </c>
      <c r="B32" s="222" t="s">
        <v>9</v>
      </c>
      <c r="C32" s="223">
        <v>159</v>
      </c>
      <c r="D32" s="223" t="s">
        <v>9</v>
      </c>
      <c r="E32" s="224" t="s">
        <v>9</v>
      </c>
      <c r="F32" s="224" t="s">
        <v>9</v>
      </c>
      <c r="G32" s="224" t="s">
        <v>9</v>
      </c>
      <c r="H32" s="84" t="s">
        <v>9</v>
      </c>
    </row>
    <row r="33" spans="1:8" ht="15.75" customHeight="1">
      <c r="A33" s="229" t="s">
        <v>148</v>
      </c>
      <c r="B33" s="230">
        <v>16.46</v>
      </c>
      <c r="C33" s="230">
        <v>133.37</v>
      </c>
      <c r="D33" s="230">
        <v>139.73</v>
      </c>
      <c r="E33" s="230">
        <v>133.37</v>
      </c>
      <c r="F33" s="230">
        <v>139.73</v>
      </c>
      <c r="G33" s="230">
        <v>185</v>
      </c>
      <c r="H33" s="231">
        <v>222.3</v>
      </c>
    </row>
    <row r="34" spans="1:8" ht="15.75" customHeight="1">
      <c r="A34" s="232" t="s">
        <v>38</v>
      </c>
      <c r="B34" s="228">
        <f>MAX(0.3*$B$23*365,20*365)</f>
        <v>30084.03</v>
      </c>
      <c r="C34" s="228">
        <f aca="true" t="shared" si="10" ref="C34:H34">MAX(0.3*$B$23*365,0.24*C33*365,20*365)</f>
        <v>30084.03</v>
      </c>
      <c r="D34" s="228">
        <f t="shared" si="10"/>
        <v>30084.03</v>
      </c>
      <c r="E34" s="228">
        <f t="shared" si="10"/>
        <v>30084.03</v>
      </c>
      <c r="F34" s="228">
        <f t="shared" si="10"/>
        <v>30084.03</v>
      </c>
      <c r="G34" s="228">
        <f t="shared" si="10"/>
        <v>30084.03</v>
      </c>
      <c r="H34" s="233">
        <f t="shared" si="10"/>
        <v>30084.03</v>
      </c>
    </row>
    <row r="35" spans="1:8" ht="15.75" customHeight="1" thickBot="1">
      <c r="A35" s="225" t="s">
        <v>39</v>
      </c>
      <c r="B35" s="226">
        <v>7300</v>
      </c>
      <c r="C35" s="226">
        <v>7300</v>
      </c>
      <c r="D35" s="226">
        <v>7300</v>
      </c>
      <c r="E35" s="226">
        <v>7300</v>
      </c>
      <c r="F35" s="226">
        <v>7300</v>
      </c>
      <c r="G35" s="226">
        <v>7300</v>
      </c>
      <c r="H35" s="227">
        <v>7300</v>
      </c>
    </row>
  </sheetData>
  <sheetProtection/>
  <mergeCells count="9">
    <mergeCell ref="C3:H3"/>
    <mergeCell ref="C4:H4"/>
    <mergeCell ref="C5:H5"/>
    <mergeCell ref="C6:H6"/>
    <mergeCell ref="C7:H7"/>
    <mergeCell ref="C11:H11"/>
    <mergeCell ref="C8:H8"/>
    <mergeCell ref="C9:H9"/>
    <mergeCell ref="C10:H10"/>
  </mergeCells>
  <printOptions/>
  <pageMargins left="0.45" right="0.45" top="0.5" bottom="0.5" header="0.3" footer="0.3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PageLayoutView="0" workbookViewId="0" topLeftCell="A1">
      <selection activeCell="G39" sqref="G39"/>
    </sheetView>
  </sheetViews>
  <sheetFormatPr defaultColWidth="9.140625" defaultRowHeight="12.75"/>
  <cols>
    <col min="1" max="1" width="48.57421875" style="0" customWidth="1"/>
    <col min="2" max="8" width="16.7109375" style="0" customWidth="1"/>
    <col min="9" max="9" width="15.7109375" style="0" customWidth="1"/>
  </cols>
  <sheetData>
    <row r="1" spans="1:9" ht="15.75" customHeight="1" thickBot="1">
      <c r="A1" s="60" t="s">
        <v>130</v>
      </c>
      <c r="B1" s="5"/>
      <c r="C1" s="5"/>
      <c r="D1" s="5"/>
      <c r="E1" s="77">
        <v>40705</v>
      </c>
      <c r="F1" s="5"/>
      <c r="G1" s="76" t="s">
        <v>141</v>
      </c>
      <c r="H1" s="42"/>
      <c r="I1" s="127"/>
    </row>
    <row r="2" spans="1:9" ht="15.75" customHeight="1" thickBot="1">
      <c r="A2" s="73" t="s">
        <v>4</v>
      </c>
      <c r="B2" s="5"/>
      <c r="C2" s="5"/>
      <c r="D2" s="5"/>
      <c r="E2" s="44"/>
      <c r="F2" s="5"/>
      <c r="G2" s="5"/>
      <c r="H2" s="42"/>
      <c r="I2" s="127"/>
    </row>
    <row r="3" spans="1:9" ht="15.75" customHeight="1">
      <c r="A3" s="18"/>
      <c r="B3" s="61" t="s">
        <v>5</v>
      </c>
      <c r="C3" s="250" t="s">
        <v>23</v>
      </c>
      <c r="D3" s="250"/>
      <c r="E3" s="250"/>
      <c r="F3" s="250"/>
      <c r="G3" s="250"/>
      <c r="H3" s="251"/>
      <c r="I3" s="127"/>
    </row>
    <row r="4" spans="1:9" ht="15.75" customHeight="1">
      <c r="A4" s="16" t="s">
        <v>18</v>
      </c>
      <c r="B4" s="55">
        <v>0.155</v>
      </c>
      <c r="C4" s="252" t="s">
        <v>108</v>
      </c>
      <c r="D4" s="252"/>
      <c r="E4" s="252"/>
      <c r="F4" s="252"/>
      <c r="G4" s="252"/>
      <c r="H4" s="253"/>
      <c r="I4" s="127"/>
    </row>
    <row r="5" spans="1:9" ht="15.75" customHeight="1">
      <c r="A5" s="16" t="s">
        <v>19</v>
      </c>
      <c r="B5" s="56">
        <v>0.0626</v>
      </c>
      <c r="C5" s="252" t="s">
        <v>131</v>
      </c>
      <c r="D5" s="252"/>
      <c r="E5" s="252"/>
      <c r="F5" s="252"/>
      <c r="G5" s="252"/>
      <c r="H5" s="253"/>
      <c r="I5" s="127"/>
    </row>
    <row r="6" spans="1:9" ht="15.75" customHeight="1">
      <c r="A6" s="16" t="s">
        <v>20</v>
      </c>
      <c r="B6" s="57">
        <v>1.0827</v>
      </c>
      <c r="C6" s="252" t="s">
        <v>139</v>
      </c>
      <c r="D6" s="252"/>
      <c r="E6" s="252"/>
      <c r="F6" s="252"/>
      <c r="G6" s="252"/>
      <c r="H6" s="253"/>
      <c r="I6" s="127"/>
    </row>
    <row r="7" spans="1:9" ht="15.75" customHeight="1">
      <c r="A7" s="16" t="s">
        <v>24</v>
      </c>
      <c r="B7" s="58">
        <v>0.954</v>
      </c>
      <c r="C7" s="252" t="s">
        <v>140</v>
      </c>
      <c r="D7" s="252"/>
      <c r="E7" s="252"/>
      <c r="F7" s="252"/>
      <c r="G7" s="252"/>
      <c r="H7" s="253"/>
      <c r="I7" s="127"/>
    </row>
    <row r="8" spans="1:9" ht="15.75" customHeight="1">
      <c r="A8" s="16" t="s">
        <v>21</v>
      </c>
      <c r="B8" s="238">
        <v>140254</v>
      </c>
      <c r="C8" s="54" t="s">
        <v>4</v>
      </c>
      <c r="D8" s="54"/>
      <c r="E8" s="54"/>
      <c r="F8" s="54"/>
      <c r="G8" s="54"/>
      <c r="H8" s="62"/>
      <c r="I8" s="127"/>
    </row>
    <row r="9" spans="1:9" ht="15.75" customHeight="1">
      <c r="A9" s="16" t="s">
        <v>26</v>
      </c>
      <c r="B9" s="74">
        <f>0.6*'BRA Parameters'!B19</f>
        <v>2005.98</v>
      </c>
      <c r="C9" s="47"/>
      <c r="D9" s="10"/>
      <c r="E9" s="10"/>
      <c r="F9" s="10"/>
      <c r="G9" s="10"/>
      <c r="H9" s="11"/>
      <c r="I9" s="127"/>
    </row>
    <row r="10" spans="1:9" ht="15.75" customHeight="1" thickBot="1">
      <c r="A10" s="75" t="s">
        <v>38</v>
      </c>
      <c r="B10" s="79">
        <f>0.3*365*B23</f>
        <v>30173.82</v>
      </c>
      <c r="C10" s="63" t="s">
        <v>4</v>
      </c>
      <c r="D10" s="64"/>
      <c r="E10" s="64"/>
      <c r="F10" s="64"/>
      <c r="G10" s="64"/>
      <c r="H10" s="65"/>
      <c r="I10" s="127"/>
    </row>
    <row r="11" spans="2:9" ht="15.75" customHeight="1" thickBot="1">
      <c r="B11" s="78" t="s">
        <v>4</v>
      </c>
      <c r="C11" s="254" t="s">
        <v>25</v>
      </c>
      <c r="D11" s="255"/>
      <c r="E11" s="255"/>
      <c r="F11" s="255"/>
      <c r="G11" s="255"/>
      <c r="H11" s="256"/>
      <c r="I11" s="185" t="s">
        <v>4</v>
      </c>
    </row>
    <row r="12" spans="1:9" ht="15.75" customHeight="1" thickBot="1">
      <c r="A12" s="17" t="s">
        <v>4</v>
      </c>
      <c r="B12" s="24" t="s">
        <v>5</v>
      </c>
      <c r="C12" s="24" t="s">
        <v>8</v>
      </c>
      <c r="D12" s="24" t="s">
        <v>7</v>
      </c>
      <c r="E12" s="24" t="s">
        <v>6</v>
      </c>
      <c r="F12" s="24" t="s">
        <v>0</v>
      </c>
      <c r="G12" s="24" t="s">
        <v>27</v>
      </c>
      <c r="H12" s="15" t="s">
        <v>28</v>
      </c>
      <c r="I12" s="185" t="s">
        <v>4</v>
      </c>
    </row>
    <row r="13" spans="1:9" ht="15.75" customHeight="1">
      <c r="A13" s="19" t="s">
        <v>1</v>
      </c>
      <c r="B13" s="25" t="s">
        <v>9</v>
      </c>
      <c r="C13" s="25">
        <v>120</v>
      </c>
      <c r="D13" s="29">
        <v>4970</v>
      </c>
      <c r="E13" s="29">
        <v>4840</v>
      </c>
      <c r="F13" s="29">
        <v>5140</v>
      </c>
      <c r="G13" s="29">
        <v>2230</v>
      </c>
      <c r="H13" s="6">
        <v>1330</v>
      </c>
      <c r="I13" s="186" t="s">
        <v>4</v>
      </c>
    </row>
    <row r="14" spans="1:9" ht="15.75" customHeight="1">
      <c r="A14" s="20" t="s">
        <v>3</v>
      </c>
      <c r="B14" s="25" t="s">
        <v>9</v>
      </c>
      <c r="C14" s="25">
        <v>6098</v>
      </c>
      <c r="D14" s="29">
        <v>7624</v>
      </c>
      <c r="E14" s="29">
        <v>6950</v>
      </c>
      <c r="F14" s="29">
        <v>6077</v>
      </c>
      <c r="G14" s="29">
        <v>2675</v>
      </c>
      <c r="H14" s="6">
        <v>1746</v>
      </c>
      <c r="I14" s="186" t="s">
        <v>4</v>
      </c>
    </row>
    <row r="15" spans="1:9" ht="15.75" customHeight="1">
      <c r="A15" s="21" t="s">
        <v>2</v>
      </c>
      <c r="B15" s="239">
        <f>ROUND((B8*B6),1)</f>
        <v>151853</v>
      </c>
      <c r="C15" s="25">
        <v>69546</v>
      </c>
      <c r="D15" s="30">
        <v>38666</v>
      </c>
      <c r="E15" s="30">
        <v>16887</v>
      </c>
      <c r="F15" s="30">
        <v>12807</v>
      </c>
      <c r="G15" s="30">
        <v>6250</v>
      </c>
      <c r="H15" s="7">
        <v>2960</v>
      </c>
      <c r="I15" s="186" t="s">
        <v>4</v>
      </c>
    </row>
    <row r="16" spans="1:9" ht="15.75" customHeight="1">
      <c r="A16" s="20" t="s">
        <v>29</v>
      </c>
      <c r="B16" s="25">
        <v>21280.7</v>
      </c>
      <c r="C16" s="25">
        <v>0</v>
      </c>
      <c r="D16" s="30">
        <v>0</v>
      </c>
      <c r="E16" s="30">
        <v>0</v>
      </c>
      <c r="F16" s="30">
        <v>0</v>
      </c>
      <c r="G16" s="30">
        <v>0</v>
      </c>
      <c r="H16" s="7">
        <v>0</v>
      </c>
      <c r="I16" s="134"/>
    </row>
    <row r="17" spans="1:9" ht="15.75" customHeight="1">
      <c r="A17" s="20" t="s">
        <v>37</v>
      </c>
      <c r="B17" s="25">
        <f>B16*$B$6</f>
        <v>23040.61389</v>
      </c>
      <c r="C17" s="25">
        <f aca="true" t="shared" si="0" ref="C17:H17">C16*$B$6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8">
        <f t="shared" si="0"/>
        <v>0</v>
      </c>
      <c r="I17" s="134"/>
    </row>
    <row r="18" spans="1:9" ht="15.75" customHeight="1">
      <c r="A18" s="37" t="s">
        <v>30</v>
      </c>
      <c r="B18" s="240">
        <f>B15-B17</f>
        <v>128812.38610999999</v>
      </c>
      <c r="C18" s="35">
        <f aca="true" t="shared" si="1" ref="C18:H18">C15-C17</f>
        <v>69546</v>
      </c>
      <c r="D18" s="35">
        <f t="shared" si="1"/>
        <v>38666</v>
      </c>
      <c r="E18" s="35">
        <f t="shared" si="1"/>
        <v>16887</v>
      </c>
      <c r="F18" s="35">
        <f t="shared" si="1"/>
        <v>12807</v>
      </c>
      <c r="G18" s="35">
        <f t="shared" si="1"/>
        <v>6250</v>
      </c>
      <c r="H18" s="36">
        <f t="shared" si="1"/>
        <v>2960</v>
      </c>
      <c r="I18" s="134" t="s">
        <v>4</v>
      </c>
    </row>
    <row r="19" spans="1:9" ht="15.75" customHeight="1">
      <c r="A19" s="21" t="s">
        <v>26</v>
      </c>
      <c r="B19" s="25">
        <f>B9</f>
        <v>2005.98</v>
      </c>
      <c r="C19" s="25">
        <f>0.6*'BRA Parameters'!C19</f>
        <v>1004.34</v>
      </c>
      <c r="D19" s="25">
        <f>0.6*'BRA Parameters'!D19</f>
        <v>553.68</v>
      </c>
      <c r="E19" s="25">
        <f>0.6*'BRA Parameters'!E19</f>
        <v>235.86</v>
      </c>
      <c r="F19" s="25">
        <f>0.6*'BRA Parameters'!F19</f>
        <v>181.79999999999998</v>
      </c>
      <c r="G19" s="25">
        <f>0.6*'BRA Parameters'!G19</f>
        <v>82.08</v>
      </c>
      <c r="H19" s="25">
        <f>0.6*'BRA Parameters'!H19</f>
        <v>38.4</v>
      </c>
      <c r="I19" s="134"/>
    </row>
    <row r="20" spans="1:9" ht="15.75" customHeight="1">
      <c r="A20" s="20" t="s">
        <v>11</v>
      </c>
      <c r="B20" s="52">
        <v>112868</v>
      </c>
      <c r="C20" s="52">
        <v>112868</v>
      </c>
      <c r="D20" s="52">
        <v>122040</v>
      </c>
      <c r="E20" s="52">
        <v>112868</v>
      </c>
      <c r="F20" s="52">
        <v>122040</v>
      </c>
      <c r="G20" s="52">
        <v>122040</v>
      </c>
      <c r="H20" s="53">
        <v>122040</v>
      </c>
      <c r="I20" s="134"/>
    </row>
    <row r="21" spans="1:9" ht="15.75" customHeight="1">
      <c r="A21" s="20" t="s">
        <v>10</v>
      </c>
      <c r="B21" s="52">
        <f>16386+2199</f>
        <v>18585</v>
      </c>
      <c r="C21" s="52">
        <f>50417+2199</f>
        <v>52616</v>
      </c>
      <c r="D21" s="52">
        <f>47275+2199</f>
        <v>49474</v>
      </c>
      <c r="E21" s="52">
        <f>50417+2199</f>
        <v>52616</v>
      </c>
      <c r="F21" s="52">
        <f>47275+2199</f>
        <v>49474</v>
      </c>
      <c r="G21" s="52">
        <f>47275+2199</f>
        <v>49474</v>
      </c>
      <c r="H21" s="53">
        <f>47275+2199</f>
        <v>49474</v>
      </c>
      <c r="I21" s="134"/>
    </row>
    <row r="22" spans="1:9" ht="15.75" customHeight="1">
      <c r="A22" s="20" t="s">
        <v>31</v>
      </c>
      <c r="B22" s="26">
        <f>(B20-B21)/365</f>
        <v>258.3095890410959</v>
      </c>
      <c r="C22" s="26">
        <f aca="true" t="shared" si="2" ref="C22:H22">(C20-C21)/365</f>
        <v>165.07397260273973</v>
      </c>
      <c r="D22" s="26">
        <f t="shared" si="2"/>
        <v>198.81095890410958</v>
      </c>
      <c r="E22" s="26">
        <f t="shared" si="2"/>
        <v>165.07397260273973</v>
      </c>
      <c r="F22" s="26">
        <f t="shared" si="2"/>
        <v>198.81095890410958</v>
      </c>
      <c r="G22" s="26">
        <f t="shared" si="2"/>
        <v>198.81095890410958</v>
      </c>
      <c r="H22" s="12">
        <f t="shared" si="2"/>
        <v>198.81095890410958</v>
      </c>
      <c r="I22" s="134"/>
    </row>
    <row r="23" spans="1:9" ht="15.75" customHeight="1">
      <c r="A23" s="20" t="s">
        <v>32</v>
      </c>
      <c r="B23" s="26">
        <f aca="true" t="shared" si="3" ref="B23:G23">ROUND((B22/(1-$B$5)),2)</f>
        <v>275.56</v>
      </c>
      <c r="C23" s="26">
        <f t="shared" si="3"/>
        <v>176.1</v>
      </c>
      <c r="D23" s="26">
        <f t="shared" si="3"/>
        <v>212.09</v>
      </c>
      <c r="E23" s="26">
        <f t="shared" si="3"/>
        <v>176.1</v>
      </c>
      <c r="F23" s="26">
        <f t="shared" si="3"/>
        <v>212.09</v>
      </c>
      <c r="G23" s="26">
        <f t="shared" si="3"/>
        <v>212.09</v>
      </c>
      <c r="H23" s="46">
        <f>ROUND(H22/(1-$B$5),2)</f>
        <v>212.09</v>
      </c>
      <c r="I23" s="134"/>
    </row>
    <row r="24" spans="1:9" ht="15.75" customHeight="1">
      <c r="A24" s="38" t="s">
        <v>33</v>
      </c>
      <c r="B24" s="39"/>
      <c r="C24" s="39"/>
      <c r="D24" s="39"/>
      <c r="E24" s="39"/>
      <c r="F24" s="39"/>
      <c r="G24" s="39"/>
      <c r="H24" s="45"/>
      <c r="I24" s="134"/>
    </row>
    <row r="25" spans="1:9" ht="15.75" customHeight="1">
      <c r="A25" s="20" t="s">
        <v>12</v>
      </c>
      <c r="B25" s="26">
        <f>ROUND(B$23*1.5,2)</f>
        <v>413.34</v>
      </c>
      <c r="C25" s="26">
        <f aca="true" t="shared" si="4" ref="C25:H25">ROUND(C$23*1.5,2)</f>
        <v>264.15</v>
      </c>
      <c r="D25" s="26">
        <f t="shared" si="4"/>
        <v>318.14</v>
      </c>
      <c r="E25" s="26">
        <f t="shared" si="4"/>
        <v>264.15</v>
      </c>
      <c r="F25" s="26">
        <f t="shared" si="4"/>
        <v>318.14</v>
      </c>
      <c r="G25" s="26">
        <f t="shared" si="4"/>
        <v>318.14</v>
      </c>
      <c r="H25" s="46">
        <f t="shared" si="4"/>
        <v>318.14</v>
      </c>
      <c r="I25" s="134"/>
    </row>
    <row r="26" spans="1:9" ht="15.75" customHeight="1">
      <c r="A26" s="20" t="s">
        <v>13</v>
      </c>
      <c r="B26" s="26">
        <f>ROUND(B$23,2)</f>
        <v>275.56</v>
      </c>
      <c r="C26" s="26">
        <f aca="true" t="shared" si="5" ref="C26:H26">ROUND(C$23,2)</f>
        <v>176.1</v>
      </c>
      <c r="D26" s="26">
        <f t="shared" si="5"/>
        <v>212.09</v>
      </c>
      <c r="E26" s="26">
        <f t="shared" si="5"/>
        <v>176.1</v>
      </c>
      <c r="F26" s="26">
        <f t="shared" si="5"/>
        <v>212.09</v>
      </c>
      <c r="G26" s="26">
        <f t="shared" si="5"/>
        <v>212.09</v>
      </c>
      <c r="H26" s="46">
        <f t="shared" si="5"/>
        <v>212.09</v>
      </c>
      <c r="I26" s="134"/>
    </row>
    <row r="27" spans="1:9" ht="15.75" customHeight="1">
      <c r="A27" s="20" t="s">
        <v>14</v>
      </c>
      <c r="B27" s="26">
        <f>ROUND(B$23*0.2,2)</f>
        <v>55.11</v>
      </c>
      <c r="C27" s="26">
        <f aca="true" t="shared" si="6" ref="C27:H27">ROUND(C$23*0.2,2)</f>
        <v>35.22</v>
      </c>
      <c r="D27" s="26">
        <f t="shared" si="6"/>
        <v>42.42</v>
      </c>
      <c r="E27" s="26">
        <f t="shared" si="6"/>
        <v>35.22</v>
      </c>
      <c r="F27" s="26">
        <f t="shared" si="6"/>
        <v>42.42</v>
      </c>
      <c r="G27" s="26">
        <f t="shared" si="6"/>
        <v>42.42</v>
      </c>
      <c r="H27" s="46">
        <f t="shared" si="6"/>
        <v>42.42</v>
      </c>
      <c r="I27" s="134"/>
    </row>
    <row r="28" spans="1:9" ht="15.75" customHeight="1">
      <c r="A28" s="20" t="s">
        <v>15</v>
      </c>
      <c r="B28" s="25">
        <f>ROUND(B$18*(1+$B$4-3%)/(1+$B$4)-B19,1)</f>
        <v>123460.6</v>
      </c>
      <c r="C28" s="25">
        <f aca="true" t="shared" si="7" ref="C28:H28">ROUND(C$18*(1+$B$4-3%)/(1+$B$4)-C19,1)</f>
        <v>66735.3</v>
      </c>
      <c r="D28" s="25">
        <f t="shared" si="7"/>
        <v>37108</v>
      </c>
      <c r="E28" s="25">
        <f t="shared" si="7"/>
        <v>16212.5</v>
      </c>
      <c r="F28" s="25">
        <f t="shared" si="7"/>
        <v>12292.6</v>
      </c>
      <c r="G28" s="25">
        <f t="shared" si="7"/>
        <v>6005.6</v>
      </c>
      <c r="H28" s="8">
        <f t="shared" si="7"/>
        <v>2844.7</v>
      </c>
      <c r="I28" s="134"/>
    </row>
    <row r="29" spans="1:9" ht="15.75" customHeight="1">
      <c r="A29" s="20" t="s">
        <v>16</v>
      </c>
      <c r="B29" s="25">
        <f>ROUND(B$18*(1+$B$4+1%)/(1+$B$4)-B19,1)</f>
        <v>127921.7</v>
      </c>
      <c r="C29" s="25">
        <f aca="true" t="shared" si="8" ref="C29:H29">ROUND(C$18*(1+$B$4+1%)/(1+$B$4)-C19,1)</f>
        <v>69143.8</v>
      </c>
      <c r="D29" s="25">
        <f t="shared" si="8"/>
        <v>38447.1</v>
      </c>
      <c r="E29" s="25">
        <f t="shared" si="8"/>
        <v>16797.3</v>
      </c>
      <c r="F29" s="25">
        <f t="shared" si="8"/>
        <v>12736.1</v>
      </c>
      <c r="G29" s="25">
        <f t="shared" si="8"/>
        <v>6222</v>
      </c>
      <c r="H29" s="8">
        <f t="shared" si="8"/>
        <v>2947.2</v>
      </c>
      <c r="I29" s="134"/>
    </row>
    <row r="30" spans="1:9" ht="15.75" customHeight="1">
      <c r="A30" s="20" t="s">
        <v>17</v>
      </c>
      <c r="B30" s="25">
        <f>ROUND(B$18*(1+$B$4+5%)/(1+$B$4)-B19,1)</f>
        <v>132382.7</v>
      </c>
      <c r="C30" s="25">
        <f aca="true" t="shared" si="9" ref="C30:H30">ROUND(C$18*(1+$B$4+5%)/(1+$B$4)-C19,1)</f>
        <v>71552.3</v>
      </c>
      <c r="D30" s="25">
        <f t="shared" si="9"/>
        <v>39786.2</v>
      </c>
      <c r="E30" s="25">
        <f t="shared" si="9"/>
        <v>17382.2</v>
      </c>
      <c r="F30" s="25">
        <f t="shared" si="9"/>
        <v>13179.6</v>
      </c>
      <c r="G30" s="25">
        <f t="shared" si="9"/>
        <v>6438.5</v>
      </c>
      <c r="H30" s="8">
        <f t="shared" si="9"/>
        <v>3049.7</v>
      </c>
      <c r="I30" s="134"/>
    </row>
    <row r="31" spans="1:9" ht="15.75" customHeight="1" thickBot="1">
      <c r="A31" s="22" t="s">
        <v>22</v>
      </c>
      <c r="B31" s="40" t="s">
        <v>9</v>
      </c>
      <c r="C31" s="27" t="s">
        <v>9</v>
      </c>
      <c r="D31" s="27" t="s">
        <v>9</v>
      </c>
      <c r="E31" s="27" t="s">
        <v>9</v>
      </c>
      <c r="F31" s="27" t="s">
        <v>9</v>
      </c>
      <c r="G31" s="27" t="s">
        <v>9</v>
      </c>
      <c r="H31" s="13" t="s">
        <v>9</v>
      </c>
      <c r="I31" s="134"/>
    </row>
    <row r="32" spans="1:9" ht="15.75" customHeight="1" thickBot="1">
      <c r="A32" s="184" t="s">
        <v>34</v>
      </c>
      <c r="B32" s="41" t="s">
        <v>9</v>
      </c>
      <c r="C32" s="182">
        <v>159</v>
      </c>
      <c r="D32" s="182" t="s">
        <v>9</v>
      </c>
      <c r="E32" s="32" t="s">
        <v>9</v>
      </c>
      <c r="F32" s="32" t="s">
        <v>9</v>
      </c>
      <c r="G32" s="32" t="s">
        <v>9</v>
      </c>
      <c r="H32" s="14" t="s">
        <v>9</v>
      </c>
      <c r="I32" s="127"/>
    </row>
    <row r="33" spans="1:10" ht="15.75" customHeight="1" thickBot="1">
      <c r="A33" s="183" t="s">
        <v>39</v>
      </c>
      <c r="B33" s="210">
        <v>7300</v>
      </c>
      <c r="C33" s="210">
        <v>7300</v>
      </c>
      <c r="D33" s="210">
        <v>7300</v>
      </c>
      <c r="E33" s="210">
        <v>7300</v>
      </c>
      <c r="F33" s="210">
        <v>7300</v>
      </c>
      <c r="G33" s="210">
        <v>7300</v>
      </c>
      <c r="H33" s="211">
        <v>7300</v>
      </c>
      <c r="I33" s="127"/>
      <c r="J33" t="s">
        <v>4</v>
      </c>
    </row>
    <row r="35" ht="15">
      <c r="A35" s="207"/>
    </row>
    <row r="36" spans="1:8" ht="15.75">
      <c r="A36" s="136" t="s">
        <v>152</v>
      </c>
      <c r="C36" s="66"/>
      <c r="D36" s="66"/>
      <c r="E36" s="66"/>
      <c r="F36" s="66"/>
      <c r="G36" s="66"/>
      <c r="H36" s="66"/>
    </row>
  </sheetData>
  <sheetProtection/>
  <mergeCells count="6">
    <mergeCell ref="C3:H3"/>
    <mergeCell ref="C5:H5"/>
    <mergeCell ref="C11:H11"/>
    <mergeCell ref="C4:H4"/>
    <mergeCell ref="C6:H6"/>
    <mergeCell ref="C7:H7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30.7109375" defaultRowHeight="12.75"/>
  <cols>
    <col min="1" max="1" width="47.57421875" style="0" customWidth="1"/>
    <col min="2" max="2" width="17.421875" style="1" bestFit="1" customWidth="1"/>
    <col min="3" max="3" width="16.28125" style="1" customWidth="1"/>
    <col min="4" max="7" width="15.7109375" style="1" customWidth="1"/>
    <col min="8" max="8" width="17.8515625" style="0" customWidth="1"/>
    <col min="9" max="9" width="18.57421875" style="0" customWidth="1"/>
    <col min="10" max="10" width="15.8515625" style="0" customWidth="1"/>
    <col min="11" max="11" width="10.421875" style="0" bestFit="1" customWidth="1"/>
  </cols>
  <sheetData>
    <row r="1" spans="1:8" ht="18.75" thickBot="1">
      <c r="A1" s="60" t="s">
        <v>35</v>
      </c>
      <c r="B1" s="5"/>
      <c r="C1" s="5"/>
      <c r="D1" s="5"/>
      <c r="E1" s="77">
        <v>40469</v>
      </c>
      <c r="F1" s="5"/>
      <c r="G1" s="76" t="s">
        <v>128</v>
      </c>
      <c r="H1" s="42"/>
    </row>
    <row r="2" spans="1:8" ht="18.75" thickBot="1">
      <c r="A2" s="60" t="s">
        <v>129</v>
      </c>
      <c r="B2" s="5"/>
      <c r="C2" s="5"/>
      <c r="D2" s="5"/>
      <c r="E2" s="44"/>
      <c r="F2" s="5"/>
      <c r="G2" s="5"/>
      <c r="H2" s="42"/>
    </row>
    <row r="3" spans="1:8" ht="18">
      <c r="A3" s="18"/>
      <c r="B3" s="61" t="s">
        <v>5</v>
      </c>
      <c r="C3" s="250" t="s">
        <v>23</v>
      </c>
      <c r="D3" s="250"/>
      <c r="E3" s="250"/>
      <c r="F3" s="250"/>
      <c r="G3" s="250"/>
      <c r="H3" s="251"/>
    </row>
    <row r="4" spans="1:8" ht="15">
      <c r="A4" s="16" t="s">
        <v>18</v>
      </c>
      <c r="B4" s="55">
        <v>0.154</v>
      </c>
      <c r="C4" s="252" t="s">
        <v>108</v>
      </c>
      <c r="D4" s="252"/>
      <c r="E4" s="252"/>
      <c r="F4" s="252"/>
      <c r="G4" s="252"/>
      <c r="H4" s="253"/>
    </row>
    <row r="5" spans="1:8" ht="15">
      <c r="A5" s="16" t="s">
        <v>19</v>
      </c>
      <c r="B5" s="56">
        <v>0.0628</v>
      </c>
      <c r="C5" s="252" t="s">
        <v>36</v>
      </c>
      <c r="D5" s="252"/>
      <c r="E5" s="252"/>
      <c r="F5" s="252"/>
      <c r="G5" s="252"/>
      <c r="H5" s="253"/>
    </row>
    <row r="6" spans="1:8" ht="15">
      <c r="A6" s="16" t="s">
        <v>20</v>
      </c>
      <c r="B6" s="57">
        <v>1.0815</v>
      </c>
      <c r="C6" s="252" t="s">
        <v>107</v>
      </c>
      <c r="D6" s="252"/>
      <c r="E6" s="252"/>
      <c r="F6" s="252"/>
      <c r="G6" s="252"/>
      <c r="H6" s="253"/>
    </row>
    <row r="7" spans="1:8" ht="15">
      <c r="A7" s="16" t="s">
        <v>24</v>
      </c>
      <c r="B7" s="58">
        <v>0.955</v>
      </c>
      <c r="C7" s="252"/>
      <c r="D7" s="252"/>
      <c r="E7" s="252"/>
      <c r="F7" s="252"/>
      <c r="G7" s="252"/>
      <c r="H7" s="253"/>
    </row>
    <row r="8" spans="1:8" ht="15">
      <c r="A8" s="16" t="s">
        <v>21</v>
      </c>
      <c r="B8" s="29">
        <v>144329.9</v>
      </c>
      <c r="C8" s="54" t="s">
        <v>4</v>
      </c>
      <c r="D8" s="54"/>
      <c r="E8" s="54"/>
      <c r="F8" s="54"/>
      <c r="G8" s="54"/>
      <c r="H8" s="62"/>
    </row>
    <row r="9" spans="1:8" ht="15">
      <c r="A9" s="16" t="s">
        <v>26</v>
      </c>
      <c r="B9" s="74">
        <v>2674.6400000000003</v>
      </c>
      <c r="C9" s="47"/>
      <c r="D9" s="10"/>
      <c r="E9" s="10"/>
      <c r="F9" s="10"/>
      <c r="G9" s="10"/>
      <c r="H9" s="11"/>
    </row>
    <row r="10" spans="1:10" ht="15.75" customHeight="1" thickBot="1">
      <c r="A10" s="75" t="s">
        <v>38</v>
      </c>
      <c r="B10" s="79">
        <v>30180</v>
      </c>
      <c r="C10" s="63" t="s">
        <v>4</v>
      </c>
      <c r="D10" s="64"/>
      <c r="E10" s="64"/>
      <c r="F10" s="64"/>
      <c r="G10" s="64"/>
      <c r="H10" s="65"/>
      <c r="J10" s="205"/>
    </row>
    <row r="11" spans="2:8" ht="16.5" thickBot="1">
      <c r="B11" s="78" t="s">
        <v>4</v>
      </c>
      <c r="C11" s="254" t="s">
        <v>25</v>
      </c>
      <c r="D11" s="255"/>
      <c r="E11" s="255"/>
      <c r="F11" s="255"/>
      <c r="G11" s="255"/>
      <c r="H11" s="256"/>
    </row>
    <row r="12" spans="1:8" ht="19.5" customHeight="1" thickBot="1">
      <c r="A12" s="17" t="s">
        <v>4</v>
      </c>
      <c r="B12" s="24" t="s">
        <v>5</v>
      </c>
      <c r="C12" s="24" t="s">
        <v>8</v>
      </c>
      <c r="D12" s="24" t="s">
        <v>7</v>
      </c>
      <c r="E12" s="24" t="s">
        <v>6</v>
      </c>
      <c r="F12" s="24" t="s">
        <v>0</v>
      </c>
      <c r="G12" s="24" t="s">
        <v>27</v>
      </c>
      <c r="H12" s="15" t="s">
        <v>28</v>
      </c>
    </row>
    <row r="13" spans="1:11" ht="19.5" customHeight="1">
      <c r="A13" s="19" t="s">
        <v>1</v>
      </c>
      <c r="B13" s="25" t="s">
        <v>9</v>
      </c>
      <c r="C13" s="25">
        <v>2530</v>
      </c>
      <c r="D13" s="29">
        <v>6080</v>
      </c>
      <c r="E13" s="29">
        <v>5370</v>
      </c>
      <c r="F13" s="29">
        <v>5740</v>
      </c>
      <c r="G13" s="29">
        <v>2490</v>
      </c>
      <c r="H13" s="6">
        <v>1310</v>
      </c>
      <c r="I13" s="9"/>
      <c r="J13" s="9"/>
      <c r="K13" s="9"/>
    </row>
    <row r="14" spans="1:11" ht="19.5" customHeight="1">
      <c r="A14" s="20" t="s">
        <v>3</v>
      </c>
      <c r="B14" s="25" t="s">
        <v>9</v>
      </c>
      <c r="C14" s="25">
        <v>6377</v>
      </c>
      <c r="D14" s="29">
        <v>7624</v>
      </c>
      <c r="E14" s="29">
        <v>7400</v>
      </c>
      <c r="F14" s="29">
        <v>6077</v>
      </c>
      <c r="G14" s="29">
        <v>2675</v>
      </c>
      <c r="H14" s="6">
        <v>1746</v>
      </c>
      <c r="I14" s="9"/>
      <c r="J14" s="9"/>
      <c r="K14" s="9"/>
    </row>
    <row r="15" spans="1:11" ht="19.5" customHeight="1">
      <c r="A15" s="21" t="s">
        <v>2</v>
      </c>
      <c r="B15" s="25">
        <f>ROUND((B8*B6),1)</f>
        <v>156092.8</v>
      </c>
      <c r="C15" s="25">
        <v>71689</v>
      </c>
      <c r="D15" s="30">
        <v>39594</v>
      </c>
      <c r="E15" s="30">
        <v>17551</v>
      </c>
      <c r="F15" s="30">
        <v>13214</v>
      </c>
      <c r="G15" s="30">
        <v>6255</v>
      </c>
      <c r="H15" s="7">
        <v>2966</v>
      </c>
      <c r="I15" s="9"/>
      <c r="J15" s="9"/>
      <c r="K15" s="9"/>
    </row>
    <row r="16" spans="1:12" ht="19.5" customHeight="1">
      <c r="A16" s="20" t="s">
        <v>29</v>
      </c>
      <c r="B16" s="25">
        <v>21560.4</v>
      </c>
      <c r="C16" s="25">
        <v>0</v>
      </c>
      <c r="D16" s="30">
        <v>0</v>
      </c>
      <c r="E16" s="30">
        <v>0</v>
      </c>
      <c r="F16" s="30">
        <v>0</v>
      </c>
      <c r="G16" s="30">
        <v>0</v>
      </c>
      <c r="H16" s="7">
        <v>0</v>
      </c>
      <c r="I16" s="9"/>
      <c r="J16" s="9"/>
      <c r="K16" s="9"/>
      <c r="L16" s="66" t="s">
        <v>4</v>
      </c>
    </row>
    <row r="17" spans="1:12" ht="19.5" customHeight="1">
      <c r="A17" s="20" t="s">
        <v>37</v>
      </c>
      <c r="B17" s="25">
        <f>B16*$B$6</f>
        <v>23317.5726</v>
      </c>
      <c r="C17" s="25">
        <f aca="true" t="shared" si="0" ref="C17:H17">C16*$B$6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8">
        <f t="shared" si="0"/>
        <v>0</v>
      </c>
      <c r="I17" s="9"/>
      <c r="J17" s="9"/>
      <c r="K17" s="9"/>
      <c r="L17" s="50"/>
    </row>
    <row r="18" spans="1:11" ht="19.5" customHeight="1">
      <c r="A18" s="37" t="s">
        <v>30</v>
      </c>
      <c r="B18" s="35">
        <f aca="true" t="shared" si="1" ref="B18:H18">B15-B17</f>
        <v>132775.22739999997</v>
      </c>
      <c r="C18" s="35">
        <f t="shared" si="1"/>
        <v>71689</v>
      </c>
      <c r="D18" s="35">
        <f t="shared" si="1"/>
        <v>39594</v>
      </c>
      <c r="E18" s="35">
        <f t="shared" si="1"/>
        <v>17551</v>
      </c>
      <c r="F18" s="35">
        <f t="shared" si="1"/>
        <v>13214</v>
      </c>
      <c r="G18" s="35">
        <f t="shared" si="1"/>
        <v>6255</v>
      </c>
      <c r="H18" s="36">
        <f t="shared" si="1"/>
        <v>2966</v>
      </c>
      <c r="I18" s="9"/>
      <c r="J18" s="9"/>
      <c r="K18" s="9"/>
    </row>
    <row r="19" spans="1:11" ht="19.5" customHeight="1">
      <c r="A19" s="21" t="s">
        <v>26</v>
      </c>
      <c r="B19" s="25">
        <v>2674.6400000000003</v>
      </c>
      <c r="C19" s="25">
        <v>1339.1443169531294</v>
      </c>
      <c r="D19" s="25">
        <v>738.228663595819</v>
      </c>
      <c r="E19" s="25">
        <v>314.4826709547974</v>
      </c>
      <c r="F19" s="25">
        <v>242.42323850342507</v>
      </c>
      <c r="G19" s="25">
        <v>109.40560753659575</v>
      </c>
      <c r="H19" s="25">
        <v>51.20322351517241</v>
      </c>
      <c r="I19" s="9"/>
      <c r="J19" s="9"/>
      <c r="K19" s="9"/>
    </row>
    <row r="20" spans="1:11" ht="19.5" customHeight="1">
      <c r="A20" s="20" t="s">
        <v>11</v>
      </c>
      <c r="B20" s="52">
        <v>112868</v>
      </c>
      <c r="C20" s="52">
        <v>112868</v>
      </c>
      <c r="D20" s="52">
        <v>122040</v>
      </c>
      <c r="E20" s="52">
        <v>112868</v>
      </c>
      <c r="F20" s="52">
        <v>122040</v>
      </c>
      <c r="G20" s="52">
        <v>122040</v>
      </c>
      <c r="H20" s="53">
        <v>122040</v>
      </c>
      <c r="I20" s="9"/>
      <c r="J20" s="9"/>
      <c r="K20" s="9"/>
    </row>
    <row r="21" spans="1:11" ht="19.5" customHeight="1">
      <c r="A21" s="20" t="s">
        <v>10</v>
      </c>
      <c r="B21" s="52">
        <f>16386+2199</f>
        <v>18585</v>
      </c>
      <c r="C21" s="52">
        <f>50417+2199</f>
        <v>52616</v>
      </c>
      <c r="D21" s="52">
        <f>47275+2199</f>
        <v>49474</v>
      </c>
      <c r="E21" s="52">
        <f>50417+2199</f>
        <v>52616</v>
      </c>
      <c r="F21" s="52">
        <f>47275+2199</f>
        <v>49474</v>
      </c>
      <c r="G21" s="52">
        <f>47275+2199</f>
        <v>49474</v>
      </c>
      <c r="H21" s="53">
        <f>47275+2199</f>
        <v>49474</v>
      </c>
      <c r="I21" s="9"/>
      <c r="J21" s="9"/>
      <c r="K21" s="9"/>
    </row>
    <row r="22" spans="1:11" ht="19.5" customHeight="1">
      <c r="A22" s="20" t="s">
        <v>31</v>
      </c>
      <c r="B22" s="26">
        <f>(B20-B21)/365</f>
        <v>258.3095890410959</v>
      </c>
      <c r="C22" s="26">
        <f aca="true" t="shared" si="2" ref="C22:H22">(C20-C21)/365</f>
        <v>165.07397260273973</v>
      </c>
      <c r="D22" s="26">
        <f t="shared" si="2"/>
        <v>198.81095890410958</v>
      </c>
      <c r="E22" s="26">
        <f t="shared" si="2"/>
        <v>165.07397260273973</v>
      </c>
      <c r="F22" s="26">
        <f t="shared" si="2"/>
        <v>198.81095890410958</v>
      </c>
      <c r="G22" s="26">
        <f t="shared" si="2"/>
        <v>198.81095890410958</v>
      </c>
      <c r="H22" s="12">
        <f t="shared" si="2"/>
        <v>198.81095890410958</v>
      </c>
      <c r="I22" s="9"/>
      <c r="J22" s="9"/>
      <c r="K22" s="9"/>
    </row>
    <row r="23" spans="1:22" ht="19.5" customHeight="1">
      <c r="A23" s="20" t="s">
        <v>32</v>
      </c>
      <c r="B23" s="26">
        <f aca="true" t="shared" si="3" ref="B23:G23">ROUND((B22/(1-$B$5)),2)</f>
        <v>275.62</v>
      </c>
      <c r="C23" s="26">
        <f t="shared" si="3"/>
        <v>176.14</v>
      </c>
      <c r="D23" s="26">
        <f t="shared" si="3"/>
        <v>212.13</v>
      </c>
      <c r="E23" s="26">
        <f t="shared" si="3"/>
        <v>176.14</v>
      </c>
      <c r="F23" s="26">
        <f t="shared" si="3"/>
        <v>212.13</v>
      </c>
      <c r="G23" s="26">
        <f t="shared" si="3"/>
        <v>212.13</v>
      </c>
      <c r="H23" s="46">
        <f>ROUND(H22/(1-$B$5),2)</f>
        <v>212.13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11" ht="19.5" customHeight="1">
      <c r="A24" s="38" t="s">
        <v>33</v>
      </c>
      <c r="B24" s="39"/>
      <c r="C24" s="39"/>
      <c r="D24" s="39"/>
      <c r="E24" s="39"/>
      <c r="F24" s="39"/>
      <c r="G24" s="39"/>
      <c r="H24" s="45"/>
      <c r="I24" s="9"/>
      <c r="J24" s="9"/>
      <c r="K24" s="9"/>
    </row>
    <row r="25" spans="1:15" ht="19.5" customHeight="1">
      <c r="A25" s="20" t="s">
        <v>12</v>
      </c>
      <c r="B25" s="26">
        <f>ROUND(B$23*1.5,2)</f>
        <v>413.43</v>
      </c>
      <c r="C25" s="26">
        <f aca="true" t="shared" si="4" ref="C25:H25">ROUND(C$23*1.5,2)</f>
        <v>264.21</v>
      </c>
      <c r="D25" s="26">
        <f t="shared" si="4"/>
        <v>318.2</v>
      </c>
      <c r="E25" s="26">
        <f t="shared" si="4"/>
        <v>264.21</v>
      </c>
      <c r="F25" s="26">
        <f t="shared" si="4"/>
        <v>318.2</v>
      </c>
      <c r="G25" s="26">
        <f t="shared" si="4"/>
        <v>318.2</v>
      </c>
      <c r="H25" s="46">
        <f t="shared" si="4"/>
        <v>318.2</v>
      </c>
      <c r="I25" s="9"/>
      <c r="J25" s="9"/>
      <c r="K25" s="9"/>
      <c r="L25" s="9"/>
      <c r="M25" s="9"/>
      <c r="N25" s="9"/>
      <c r="O25" s="9"/>
    </row>
    <row r="26" spans="1:15" ht="19.5" customHeight="1">
      <c r="A26" s="20" t="s">
        <v>13</v>
      </c>
      <c r="B26" s="26">
        <f>ROUND(B$23,2)</f>
        <v>275.62</v>
      </c>
      <c r="C26" s="26">
        <f aca="true" t="shared" si="5" ref="C26:H26">ROUND(C$23,2)</f>
        <v>176.14</v>
      </c>
      <c r="D26" s="26">
        <f t="shared" si="5"/>
        <v>212.13</v>
      </c>
      <c r="E26" s="26">
        <f t="shared" si="5"/>
        <v>176.14</v>
      </c>
      <c r="F26" s="26">
        <f t="shared" si="5"/>
        <v>212.13</v>
      </c>
      <c r="G26" s="26">
        <f t="shared" si="5"/>
        <v>212.13</v>
      </c>
      <c r="H26" s="46">
        <f t="shared" si="5"/>
        <v>212.13</v>
      </c>
      <c r="I26" s="9"/>
      <c r="J26" s="9"/>
      <c r="K26" s="9"/>
      <c r="L26" s="9"/>
      <c r="M26" s="9"/>
      <c r="N26" s="9"/>
      <c r="O26" s="9"/>
    </row>
    <row r="27" spans="1:15" ht="19.5" customHeight="1">
      <c r="A27" s="20" t="s">
        <v>14</v>
      </c>
      <c r="B27" s="26">
        <f>ROUND(B$23*0.2,2)</f>
        <v>55.12</v>
      </c>
      <c r="C27" s="26">
        <f aca="true" t="shared" si="6" ref="C27:H27">ROUND(C$23*0.2,2)</f>
        <v>35.23</v>
      </c>
      <c r="D27" s="26">
        <f t="shared" si="6"/>
        <v>42.43</v>
      </c>
      <c r="E27" s="26">
        <f t="shared" si="6"/>
        <v>35.23</v>
      </c>
      <c r="F27" s="26">
        <f t="shared" si="6"/>
        <v>42.43</v>
      </c>
      <c r="G27" s="26">
        <f t="shared" si="6"/>
        <v>42.43</v>
      </c>
      <c r="H27" s="46">
        <f t="shared" si="6"/>
        <v>42.43</v>
      </c>
      <c r="I27" s="9"/>
      <c r="J27" s="9"/>
      <c r="K27" s="9"/>
      <c r="L27" s="9"/>
      <c r="M27" s="9"/>
      <c r="N27" s="9"/>
      <c r="O27" s="9"/>
    </row>
    <row r="28" spans="1:11" ht="19.5" customHeight="1">
      <c r="A28" s="20" t="s">
        <v>15</v>
      </c>
      <c r="B28" s="25">
        <f>ROUND(B$18*(1+$B$4-3%)/(1+$B$4)-B19,1)</f>
        <v>126648.9</v>
      </c>
      <c r="C28" s="25">
        <f aca="true" t="shared" si="7" ref="C28:H28">ROUND(C$18*(1+$B$4-3%)/(1+$B$4)-C19,1)</f>
        <v>68486.2</v>
      </c>
      <c r="D28" s="25">
        <f t="shared" si="7"/>
        <v>37826.5</v>
      </c>
      <c r="E28" s="25">
        <f t="shared" si="7"/>
        <v>16780.3</v>
      </c>
      <c r="F28" s="25">
        <f t="shared" si="7"/>
        <v>12628.1</v>
      </c>
      <c r="G28" s="25">
        <f t="shared" si="7"/>
        <v>5983</v>
      </c>
      <c r="H28" s="8">
        <f t="shared" si="7"/>
        <v>2837.7</v>
      </c>
      <c r="I28" s="9"/>
      <c r="J28" s="9"/>
      <c r="K28" s="9"/>
    </row>
    <row r="29" spans="1:11" ht="19.5" customHeight="1">
      <c r="A29" s="20" t="s">
        <v>16</v>
      </c>
      <c r="B29" s="25">
        <f>ROUND(B$18*(1+$B$4+1%)/(1+$B$4)-B19,1)</f>
        <v>131251.2</v>
      </c>
      <c r="C29" s="25">
        <f aca="true" t="shared" si="8" ref="C29:H29">ROUND(C$18*(1+$B$4+1%)/(1+$B$4)-C19,1)</f>
        <v>70971.1</v>
      </c>
      <c r="D29" s="25">
        <f t="shared" si="8"/>
        <v>39198.9</v>
      </c>
      <c r="E29" s="25">
        <f t="shared" si="8"/>
        <v>17388.6</v>
      </c>
      <c r="F29" s="25">
        <f t="shared" si="8"/>
        <v>13086.1</v>
      </c>
      <c r="G29" s="25">
        <f t="shared" si="8"/>
        <v>6199.8</v>
      </c>
      <c r="H29" s="8">
        <f t="shared" si="8"/>
        <v>2940.5</v>
      </c>
      <c r="I29" s="9"/>
      <c r="J29" s="9"/>
      <c r="K29" s="9"/>
    </row>
    <row r="30" spans="1:11" ht="19.5" customHeight="1">
      <c r="A30" s="20" t="s">
        <v>17</v>
      </c>
      <c r="B30" s="25">
        <f>ROUND(B$18*(1+$B$4+5%)/(1+$B$4)-B19,1)</f>
        <v>135853.4</v>
      </c>
      <c r="C30" s="25">
        <f aca="true" t="shared" si="9" ref="C30:H30">ROUND(C$18*(1+$B$4+5%)/(1+$B$4)-C19,1)</f>
        <v>73456</v>
      </c>
      <c r="D30" s="25">
        <f t="shared" si="9"/>
        <v>40571.3</v>
      </c>
      <c r="E30" s="25">
        <f t="shared" si="9"/>
        <v>17997</v>
      </c>
      <c r="F30" s="25">
        <f t="shared" si="9"/>
        <v>13544.1</v>
      </c>
      <c r="G30" s="25">
        <f t="shared" si="9"/>
        <v>6416.6</v>
      </c>
      <c r="H30" s="8">
        <f t="shared" si="9"/>
        <v>3043.3</v>
      </c>
      <c r="I30" s="9"/>
      <c r="J30" s="9"/>
      <c r="K30" s="9"/>
    </row>
    <row r="31" spans="1:11" ht="19.5" customHeight="1" thickBot="1">
      <c r="A31" s="22" t="s">
        <v>22</v>
      </c>
      <c r="B31" s="40" t="s">
        <v>9</v>
      </c>
      <c r="C31" s="27" t="s">
        <v>9</v>
      </c>
      <c r="D31" s="27" t="s">
        <v>9</v>
      </c>
      <c r="E31" s="27" t="s">
        <v>9</v>
      </c>
      <c r="F31" s="27" t="s">
        <v>9</v>
      </c>
      <c r="G31" s="27" t="s">
        <v>9</v>
      </c>
      <c r="H31" s="13" t="s">
        <v>9</v>
      </c>
      <c r="I31" s="9"/>
      <c r="J31" s="9"/>
      <c r="K31" s="9"/>
    </row>
    <row r="32" spans="1:12" ht="19.5" customHeight="1" thickBot="1">
      <c r="A32" s="144" t="s">
        <v>34</v>
      </c>
      <c r="B32" s="41" t="s">
        <v>9</v>
      </c>
      <c r="C32" s="181">
        <v>159</v>
      </c>
      <c r="D32" s="182" t="s">
        <v>9</v>
      </c>
      <c r="E32" s="32" t="s">
        <v>9</v>
      </c>
      <c r="F32" s="32" t="s">
        <v>9</v>
      </c>
      <c r="G32" s="32" t="s">
        <v>9</v>
      </c>
      <c r="H32" s="14" t="s">
        <v>9</v>
      </c>
      <c r="L32" s="50" t="s">
        <v>4</v>
      </c>
    </row>
    <row r="33" spans="1:12" ht="19.5" customHeight="1" thickBot="1">
      <c r="A33" s="183" t="s">
        <v>39</v>
      </c>
      <c r="B33" s="210">
        <v>7300</v>
      </c>
      <c r="C33" s="210">
        <v>7300</v>
      </c>
      <c r="D33" s="210">
        <v>11218</v>
      </c>
      <c r="E33" s="210">
        <v>7300</v>
      </c>
      <c r="F33" s="210">
        <v>11218</v>
      </c>
      <c r="G33" s="210">
        <v>11218</v>
      </c>
      <c r="H33" s="211">
        <v>11218</v>
      </c>
      <c r="I33" s="51" t="s">
        <v>4</v>
      </c>
      <c r="L33" s="50"/>
    </row>
    <row r="34" spans="1:9" ht="19.5" customHeight="1">
      <c r="A34" s="3"/>
      <c r="I34" s="51"/>
    </row>
    <row r="35" ht="19.5" customHeight="1">
      <c r="A35" s="3"/>
    </row>
    <row r="36" ht="18" customHeight="1">
      <c r="A36" s="3"/>
    </row>
    <row r="37" spans="1:12" s="4" customFormat="1" ht="12.75">
      <c r="A37" s="3"/>
      <c r="B37" s="1"/>
      <c r="C37" s="1"/>
      <c r="D37" s="1"/>
      <c r="E37" s="1"/>
      <c r="F37" s="1"/>
      <c r="G37" s="1"/>
      <c r="H37"/>
      <c r="I37"/>
      <c r="J37"/>
      <c r="L37" s="48" t="s">
        <v>4</v>
      </c>
    </row>
    <row r="38" spans="1:11" s="4" customFormat="1" ht="19.5" customHeight="1">
      <c r="A38" s="3"/>
      <c r="B38" s="1"/>
      <c r="C38" s="1"/>
      <c r="D38" s="1"/>
      <c r="E38" s="1"/>
      <c r="F38" s="1"/>
      <c r="G38" s="1"/>
      <c r="H38"/>
      <c r="I38"/>
      <c r="J38"/>
      <c r="K38" s="48" t="s">
        <v>4</v>
      </c>
    </row>
    <row r="39" spans="1:10" s="2" customFormat="1" ht="19.5" customHeight="1">
      <c r="A39" s="3"/>
      <c r="B39" s="1"/>
      <c r="C39" s="1"/>
      <c r="D39" s="1"/>
      <c r="E39" s="1"/>
      <c r="F39" s="1"/>
      <c r="G39" s="1"/>
      <c r="H39"/>
      <c r="I39"/>
      <c r="J39"/>
    </row>
    <row r="40" spans="1:11" s="2" customFormat="1" ht="19.5" customHeight="1">
      <c r="A40" s="3"/>
      <c r="B40" s="1"/>
      <c r="C40" s="1"/>
      <c r="D40" s="1"/>
      <c r="E40" s="1"/>
      <c r="F40" s="1"/>
      <c r="G40" s="1"/>
      <c r="H40"/>
      <c r="I40"/>
      <c r="J40"/>
      <c r="K40" s="49" t="s">
        <v>4</v>
      </c>
    </row>
    <row r="41" spans="1:10" s="2" customFormat="1" ht="19.5" customHeight="1">
      <c r="A41" s="3"/>
      <c r="B41" s="1"/>
      <c r="C41" s="1"/>
      <c r="D41" s="1"/>
      <c r="E41" s="1"/>
      <c r="F41" s="1"/>
      <c r="G41" s="1"/>
      <c r="H41"/>
      <c r="I41"/>
      <c r="J41"/>
    </row>
    <row r="42" spans="1:10" s="2" customFormat="1" ht="19.5" customHeight="1">
      <c r="A42" s="3"/>
      <c r="B42" s="1"/>
      <c r="C42" s="1"/>
      <c r="D42" s="1"/>
      <c r="E42" s="1"/>
      <c r="F42" s="1"/>
      <c r="G42" s="1"/>
      <c r="H42"/>
      <c r="I42"/>
      <c r="J42"/>
    </row>
    <row r="43" spans="1:10" s="2" customFormat="1" ht="19.5" customHeight="1">
      <c r="A43" s="3"/>
      <c r="B43" s="1"/>
      <c r="C43" s="1"/>
      <c r="D43" s="1"/>
      <c r="E43" s="1"/>
      <c r="F43" s="1"/>
      <c r="G43" s="1"/>
      <c r="H43"/>
      <c r="I43"/>
      <c r="J43"/>
    </row>
    <row r="44" spans="1:10" s="2" customFormat="1" ht="19.5" customHeight="1">
      <c r="A44" s="3"/>
      <c r="B44" s="1"/>
      <c r="C44" s="1"/>
      <c r="D44" s="1"/>
      <c r="E44" s="1"/>
      <c r="F44" s="1"/>
      <c r="G44" s="1"/>
      <c r="H44"/>
      <c r="I44"/>
      <c r="J44"/>
    </row>
    <row r="45" spans="1:10" s="2" customFormat="1" ht="19.5" customHeight="1">
      <c r="A45"/>
      <c r="B45" s="1"/>
      <c r="C45" s="1"/>
      <c r="D45" s="1"/>
      <c r="E45" s="1"/>
      <c r="F45" s="1"/>
      <c r="G45" s="1"/>
      <c r="H45"/>
      <c r="I45"/>
      <c r="J45"/>
    </row>
    <row r="46" spans="1:10" s="2" customFormat="1" ht="19.5" customHeight="1">
      <c r="A46"/>
      <c r="B46" s="1"/>
      <c r="C46" s="1"/>
      <c r="D46" s="1"/>
      <c r="E46" s="1"/>
      <c r="F46" s="1"/>
      <c r="G46" s="1"/>
      <c r="H46"/>
      <c r="I46"/>
      <c r="J46"/>
    </row>
    <row r="47" spans="1:10" s="2" customFormat="1" ht="19.5" customHeight="1">
      <c r="A47"/>
      <c r="B47" s="1"/>
      <c r="C47" s="1"/>
      <c r="D47" s="1"/>
      <c r="E47" s="1"/>
      <c r="F47" s="1"/>
      <c r="G47" s="1"/>
      <c r="H47"/>
      <c r="I47"/>
      <c r="J47"/>
    </row>
    <row r="48" spans="1:10" s="2" customFormat="1" ht="19.5" customHeight="1">
      <c r="A48"/>
      <c r="B48" s="1"/>
      <c r="C48" s="1"/>
      <c r="D48" s="1"/>
      <c r="E48" s="1"/>
      <c r="F48" s="1"/>
      <c r="G48" s="1"/>
      <c r="H48"/>
      <c r="I48"/>
      <c r="J48"/>
    </row>
    <row r="49" spans="1:10" s="2" customFormat="1" ht="19.5" customHeight="1">
      <c r="A49"/>
      <c r="B49" s="1"/>
      <c r="C49" s="1"/>
      <c r="D49" s="1"/>
      <c r="E49" s="1"/>
      <c r="F49" s="1"/>
      <c r="G49" s="1"/>
      <c r="H49"/>
      <c r="I49"/>
      <c r="J49"/>
    </row>
    <row r="50" spans="1:10" s="2" customFormat="1" ht="19.5" customHeight="1">
      <c r="A50"/>
      <c r="B50" s="1"/>
      <c r="C50" s="1"/>
      <c r="D50" s="1"/>
      <c r="E50" s="1"/>
      <c r="F50" s="1"/>
      <c r="G50" s="1"/>
      <c r="H50"/>
      <c r="I50"/>
      <c r="J50"/>
    </row>
    <row r="51" spans="1:10" s="2" customFormat="1" ht="19.5" customHeight="1">
      <c r="A51"/>
      <c r="B51" s="1"/>
      <c r="C51" s="1"/>
      <c r="D51" s="1"/>
      <c r="E51" s="1"/>
      <c r="F51" s="1"/>
      <c r="G51" s="1"/>
      <c r="H51"/>
      <c r="I51"/>
      <c r="J51"/>
    </row>
    <row r="52" spans="1:10" s="2" customFormat="1" ht="19.5" customHeight="1">
      <c r="A52"/>
      <c r="B52" s="1"/>
      <c r="C52" s="1"/>
      <c r="D52" s="1"/>
      <c r="E52" s="1"/>
      <c r="F52" s="1"/>
      <c r="G52" s="1"/>
      <c r="H52"/>
      <c r="I52"/>
      <c r="J52"/>
    </row>
    <row r="53" spans="1:10" s="2" customFormat="1" ht="19.5" customHeight="1">
      <c r="A53"/>
      <c r="B53" s="1"/>
      <c r="C53" s="1"/>
      <c r="D53" s="1"/>
      <c r="E53" s="1"/>
      <c r="F53" s="1"/>
      <c r="G53" s="1"/>
      <c r="H53"/>
      <c r="I53"/>
      <c r="J53"/>
    </row>
    <row r="54" spans="1:10" s="2" customFormat="1" ht="19.5" customHeight="1">
      <c r="A54"/>
      <c r="B54" s="1"/>
      <c r="C54" s="1"/>
      <c r="D54" s="1"/>
      <c r="E54" s="1"/>
      <c r="F54" s="1"/>
      <c r="G54" s="1"/>
      <c r="H54"/>
      <c r="I54"/>
      <c r="J54"/>
    </row>
    <row r="55" spans="1:10" s="2" customFormat="1" ht="19.5" customHeight="1">
      <c r="A55"/>
      <c r="B55" s="1"/>
      <c r="C55" s="1"/>
      <c r="D55" s="1"/>
      <c r="E55" s="1"/>
      <c r="F55" s="1"/>
      <c r="G55" s="1"/>
      <c r="H55"/>
      <c r="I55"/>
      <c r="J55"/>
    </row>
    <row r="56" spans="1:10" s="2" customFormat="1" ht="19.5" customHeight="1">
      <c r="A56"/>
      <c r="B56" s="1"/>
      <c r="C56" s="1"/>
      <c r="D56" s="1"/>
      <c r="E56" s="1"/>
      <c r="F56" s="1"/>
      <c r="G56" s="1"/>
      <c r="H56"/>
      <c r="I56"/>
      <c r="J56"/>
    </row>
    <row r="57" spans="1:10" s="2" customFormat="1" ht="19.5" customHeight="1">
      <c r="A57"/>
      <c r="B57" s="1"/>
      <c r="C57" s="1"/>
      <c r="D57" s="1"/>
      <c r="E57" s="1"/>
      <c r="F57" s="1"/>
      <c r="G57" s="1"/>
      <c r="H57"/>
      <c r="I57"/>
      <c r="J57"/>
    </row>
    <row r="58" spans="1:10" s="2" customFormat="1" ht="19.5" customHeight="1">
      <c r="A58"/>
      <c r="B58" s="1"/>
      <c r="C58" s="1"/>
      <c r="D58" s="1"/>
      <c r="E58" s="1"/>
      <c r="F58" s="1"/>
      <c r="G58" s="1"/>
      <c r="H58"/>
      <c r="I58"/>
      <c r="J58"/>
    </row>
    <row r="59" spans="1:10" s="2" customFormat="1" ht="19.5" customHeight="1">
      <c r="A59"/>
      <c r="B59" s="1"/>
      <c r="C59" s="1"/>
      <c r="D59" s="1"/>
      <c r="E59" s="1"/>
      <c r="F59" s="1"/>
      <c r="G59" s="1"/>
      <c r="H59"/>
      <c r="I59"/>
      <c r="J59"/>
    </row>
    <row r="60" spans="1:10" s="2" customFormat="1" ht="19.5" customHeight="1">
      <c r="A60"/>
      <c r="B60" s="1"/>
      <c r="C60" s="1"/>
      <c r="D60" s="1"/>
      <c r="E60" s="1"/>
      <c r="F60" s="1"/>
      <c r="G60" s="1"/>
      <c r="H60"/>
      <c r="I60"/>
      <c r="J60"/>
    </row>
    <row r="61" spans="1:10" s="2" customFormat="1" ht="19.5" customHeight="1">
      <c r="A61"/>
      <c r="B61" s="1"/>
      <c r="C61" s="1"/>
      <c r="D61" s="1"/>
      <c r="E61" s="1"/>
      <c r="F61" s="1"/>
      <c r="G61" s="1"/>
      <c r="H61"/>
      <c r="I61"/>
      <c r="J61"/>
    </row>
    <row r="62" spans="1:10" s="2" customFormat="1" ht="19.5" customHeight="1">
      <c r="A62"/>
      <c r="B62" s="1"/>
      <c r="C62" s="1"/>
      <c r="D62" s="1"/>
      <c r="E62" s="1"/>
      <c r="F62" s="1"/>
      <c r="G62" s="1"/>
      <c r="H62"/>
      <c r="I62"/>
      <c r="J62"/>
    </row>
    <row r="65" ht="15.75" customHeight="1"/>
  </sheetData>
  <sheetProtection/>
  <mergeCells count="6">
    <mergeCell ref="C3:H3"/>
    <mergeCell ref="C5:H5"/>
    <mergeCell ref="C11:H11"/>
    <mergeCell ref="C4:H4"/>
    <mergeCell ref="C6:H6"/>
    <mergeCell ref="C7:H7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zoomScalePageLayoutView="0" workbookViewId="0" topLeftCell="A1">
      <selection activeCell="A1" sqref="A1"/>
    </sheetView>
  </sheetViews>
  <sheetFormatPr defaultColWidth="30.7109375" defaultRowHeight="12.75"/>
  <cols>
    <col min="1" max="1" width="45.7109375" style="127" customWidth="1"/>
    <col min="2" max="2" width="15.7109375" style="143" customWidth="1"/>
    <col min="3" max="3" width="16.28125" style="143" customWidth="1"/>
    <col min="4" max="7" width="15.7109375" style="143" customWidth="1"/>
    <col min="8" max="8" width="15.7109375" style="127" customWidth="1"/>
    <col min="9" max="9" width="18.57421875" style="127" customWidth="1"/>
    <col min="10" max="11" width="7.57421875" style="127" bestFit="1" customWidth="1"/>
    <col min="12" max="16384" width="30.7109375" style="127" customWidth="1"/>
  </cols>
  <sheetData>
    <row r="1" spans="1:8" ht="16.5" thickBot="1">
      <c r="A1" s="124" t="s">
        <v>40</v>
      </c>
      <c r="B1" s="80"/>
      <c r="C1" s="80"/>
      <c r="D1" s="80"/>
      <c r="E1" s="208">
        <v>39955</v>
      </c>
      <c r="F1" s="80"/>
      <c r="G1" s="80" t="s">
        <v>41</v>
      </c>
      <c r="H1" s="126"/>
    </row>
    <row r="2" spans="1:8" ht="16.5" thickBot="1">
      <c r="A2" s="124" t="s">
        <v>42</v>
      </c>
      <c r="B2" s="80"/>
      <c r="C2" s="80"/>
      <c r="D2" s="80"/>
      <c r="E2" s="125"/>
      <c r="F2" s="80"/>
      <c r="G2" s="80"/>
      <c r="H2" s="126"/>
    </row>
    <row r="3" spans="1:8" ht="15.75">
      <c r="A3" s="128"/>
      <c r="B3" s="129" t="s">
        <v>5</v>
      </c>
      <c r="C3" s="250" t="s">
        <v>23</v>
      </c>
      <c r="D3" s="250"/>
      <c r="E3" s="250"/>
      <c r="F3" s="250"/>
      <c r="G3" s="250"/>
      <c r="H3" s="251"/>
    </row>
    <row r="4" spans="1:8" ht="15">
      <c r="A4" s="16" t="s">
        <v>18</v>
      </c>
      <c r="B4" s="55">
        <v>0.162</v>
      </c>
      <c r="C4" s="54" t="s">
        <v>43</v>
      </c>
      <c r="D4" s="34"/>
      <c r="E4" s="34"/>
      <c r="F4" s="34"/>
      <c r="G4" s="34"/>
      <c r="H4" s="43"/>
    </row>
    <row r="5" spans="1:8" ht="15">
      <c r="A5" s="16" t="s">
        <v>19</v>
      </c>
      <c r="B5" s="56">
        <v>0.0644</v>
      </c>
      <c r="C5" s="252" t="s">
        <v>44</v>
      </c>
      <c r="D5" s="252"/>
      <c r="E5" s="252"/>
      <c r="F5" s="252"/>
      <c r="G5" s="252"/>
      <c r="H5" s="253"/>
    </row>
    <row r="6" spans="1:8" ht="15">
      <c r="A6" s="16" t="s">
        <v>20</v>
      </c>
      <c r="B6" s="57">
        <v>1.0872</v>
      </c>
      <c r="C6" s="59" t="s">
        <v>4</v>
      </c>
      <c r="D6" s="34"/>
      <c r="E6" s="34"/>
      <c r="F6" s="34"/>
      <c r="G6" s="34"/>
      <c r="H6" s="43"/>
    </row>
    <row r="7" spans="1:8" ht="15">
      <c r="A7" s="16" t="s">
        <v>24</v>
      </c>
      <c r="B7" s="58">
        <v>0.95</v>
      </c>
      <c r="C7" s="34" t="s">
        <v>4</v>
      </c>
      <c r="D7" s="34"/>
      <c r="E7" s="34"/>
      <c r="F7" s="34"/>
      <c r="G7" s="34"/>
      <c r="H7" s="130"/>
    </row>
    <row r="8" spans="1:8" ht="15">
      <c r="A8" s="16" t="s">
        <v>21</v>
      </c>
      <c r="B8" s="29">
        <f>F38</f>
        <v>144857</v>
      </c>
      <c r="C8" s="54" t="s">
        <v>4</v>
      </c>
      <c r="D8" s="54"/>
      <c r="E8" s="54"/>
      <c r="F8" s="54"/>
      <c r="G8" s="54"/>
      <c r="H8" s="131"/>
    </row>
    <row r="9" spans="1:8" ht="15.75">
      <c r="A9" s="16" t="s">
        <v>26</v>
      </c>
      <c r="B9" s="81">
        <v>0.025</v>
      </c>
      <c r="C9" s="132"/>
      <c r="D9" s="34"/>
      <c r="E9" s="34"/>
      <c r="F9" s="34"/>
      <c r="G9" s="34"/>
      <c r="H9" s="130"/>
    </row>
    <row r="10" spans="1:8" ht="15.75" customHeight="1" thickBot="1">
      <c r="A10" s="16" t="s">
        <v>45</v>
      </c>
      <c r="B10" s="82">
        <v>27273</v>
      </c>
      <c r="C10" s="63" t="s">
        <v>4</v>
      </c>
      <c r="D10" s="64"/>
      <c r="E10" s="64"/>
      <c r="F10" s="64"/>
      <c r="G10" s="64"/>
      <c r="H10" s="65"/>
    </row>
    <row r="11" spans="1:12" ht="16.5" thickBot="1">
      <c r="A11" s="83" t="s">
        <v>46</v>
      </c>
      <c r="B11" s="209">
        <v>4070</v>
      </c>
      <c r="C11" s="254" t="s">
        <v>25</v>
      </c>
      <c r="D11" s="255"/>
      <c r="E11" s="255"/>
      <c r="F11" s="255"/>
      <c r="G11" s="255"/>
      <c r="H11" s="256"/>
      <c r="L11" s="206"/>
    </row>
    <row r="12" spans="1:8" ht="19.5" customHeight="1" thickBot="1">
      <c r="A12" s="133" t="s">
        <v>4</v>
      </c>
      <c r="B12" s="24" t="s">
        <v>5</v>
      </c>
      <c r="C12" s="24" t="s">
        <v>8</v>
      </c>
      <c r="D12" s="24" t="s">
        <v>7</v>
      </c>
      <c r="E12" s="24" t="s">
        <v>6</v>
      </c>
      <c r="F12" s="24" t="s">
        <v>0</v>
      </c>
      <c r="G12" s="24" t="s">
        <v>27</v>
      </c>
      <c r="H12" s="15" t="s">
        <v>28</v>
      </c>
    </row>
    <row r="13" spans="1:11" ht="19.5" customHeight="1">
      <c r="A13" s="19" t="s">
        <v>1</v>
      </c>
      <c r="B13" s="25" t="s">
        <v>9</v>
      </c>
      <c r="C13" s="25">
        <f>B61</f>
        <v>5600</v>
      </c>
      <c r="D13" s="29">
        <f>B58</f>
        <v>7440</v>
      </c>
      <c r="E13" s="29">
        <f>B59</f>
        <v>5990</v>
      </c>
      <c r="F13" s="29">
        <f>B55</f>
        <v>6290</v>
      </c>
      <c r="G13" s="29">
        <f>B56</f>
        <v>2720</v>
      </c>
      <c r="H13" s="6">
        <f>B48</f>
        <v>1520</v>
      </c>
      <c r="I13" s="134"/>
      <c r="J13" s="134"/>
      <c r="K13" s="134"/>
    </row>
    <row r="14" spans="1:11" ht="19.5" customHeight="1">
      <c r="A14" s="20" t="s">
        <v>3</v>
      </c>
      <c r="B14" s="25" t="s">
        <v>9</v>
      </c>
      <c r="C14" s="25">
        <f>C61</f>
        <v>6377</v>
      </c>
      <c r="D14" s="29">
        <f>C58</f>
        <v>9079</v>
      </c>
      <c r="E14" s="29">
        <f>C59</f>
        <v>7400</v>
      </c>
      <c r="F14" s="29">
        <f>C55</f>
        <v>6356</v>
      </c>
      <c r="G14" s="29">
        <f>C56</f>
        <v>2755</v>
      </c>
      <c r="H14" s="6">
        <f>C48</f>
        <v>1746</v>
      </c>
      <c r="I14" s="134"/>
      <c r="J14" s="134"/>
      <c r="K14" s="134"/>
    </row>
    <row r="15" spans="1:11" ht="19.5" customHeight="1">
      <c r="A15" s="21" t="s">
        <v>2</v>
      </c>
      <c r="B15" s="25">
        <f>ROUND((B8*B6),1)</f>
        <v>157488.5</v>
      </c>
      <c r="C15" s="25">
        <v>72125</v>
      </c>
      <c r="D15" s="30">
        <v>40145</v>
      </c>
      <c r="E15" s="30">
        <v>17220</v>
      </c>
      <c r="F15" s="30">
        <v>13439</v>
      </c>
      <c r="G15" s="30">
        <v>6324</v>
      </c>
      <c r="H15" s="7">
        <v>3035</v>
      </c>
      <c r="I15" s="134"/>
      <c r="J15" s="134"/>
      <c r="K15" s="134"/>
    </row>
    <row r="16" spans="1:12" ht="19.5" customHeight="1">
      <c r="A16" s="20" t="s">
        <v>29</v>
      </c>
      <c r="B16" s="25">
        <v>21850.7</v>
      </c>
      <c r="C16" s="25">
        <v>0</v>
      </c>
      <c r="D16" s="30">
        <v>0</v>
      </c>
      <c r="E16" s="30">
        <v>0</v>
      </c>
      <c r="F16" s="30">
        <v>0</v>
      </c>
      <c r="G16" s="30">
        <v>0</v>
      </c>
      <c r="H16" s="7">
        <v>0</v>
      </c>
      <c r="I16" s="134"/>
      <c r="J16" s="134"/>
      <c r="K16" s="134"/>
      <c r="L16" s="135" t="s">
        <v>4</v>
      </c>
    </row>
    <row r="17" spans="1:12" ht="19.5" customHeight="1">
      <c r="A17" s="20" t="s">
        <v>47</v>
      </c>
      <c r="B17" s="25">
        <f aca="true" t="shared" si="0" ref="B17:H17">B16*$B$6</f>
        <v>23756.08104</v>
      </c>
      <c r="C17" s="25">
        <f t="shared" si="0"/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8">
        <f t="shared" si="0"/>
        <v>0</v>
      </c>
      <c r="I17" s="134"/>
      <c r="J17" s="134"/>
      <c r="K17" s="134"/>
      <c r="L17" s="135" t="s">
        <v>4</v>
      </c>
    </row>
    <row r="18" spans="1:11" ht="19.5" customHeight="1">
      <c r="A18" s="37" t="s">
        <v>30</v>
      </c>
      <c r="B18" s="35">
        <f aca="true" t="shared" si="1" ref="B18:H18">B15-B17</f>
        <v>133732.41896</v>
      </c>
      <c r="C18" s="35">
        <f t="shared" si="1"/>
        <v>72125</v>
      </c>
      <c r="D18" s="35">
        <f t="shared" si="1"/>
        <v>40145</v>
      </c>
      <c r="E18" s="35">
        <f t="shared" si="1"/>
        <v>17220</v>
      </c>
      <c r="F18" s="35">
        <f t="shared" si="1"/>
        <v>13439</v>
      </c>
      <c r="G18" s="35">
        <f t="shared" si="1"/>
        <v>6324</v>
      </c>
      <c r="H18" s="36">
        <f t="shared" si="1"/>
        <v>3035</v>
      </c>
      <c r="I18" s="134"/>
      <c r="J18" s="134"/>
      <c r="K18" s="134"/>
    </row>
    <row r="19" spans="1:11" ht="19.5" customHeight="1">
      <c r="A19" s="21" t="s">
        <v>26</v>
      </c>
      <c r="B19" s="25">
        <f>ROUND((B18*B9),1)</f>
        <v>3343.3</v>
      </c>
      <c r="C19" s="25">
        <f>ROUND(H39+H42+H47+H49+H50+H51+H52+H53+H54+H55+H57,1)</f>
        <v>1673.9</v>
      </c>
      <c r="D19" s="29">
        <f>ROUND(H39+H47+H49+H51+H55+H57,1)</f>
        <v>922.8</v>
      </c>
      <c r="E19" s="29">
        <f>ROUND(H42+H53,1)</f>
        <v>393.1</v>
      </c>
      <c r="F19" s="29">
        <f>ROUND(H55,1)</f>
        <v>303</v>
      </c>
      <c r="G19" s="29">
        <f>ROUND(H56,1)</f>
        <v>136.8</v>
      </c>
      <c r="H19" s="6">
        <f>ROUND(H48,1)</f>
        <v>64</v>
      </c>
      <c r="I19" s="134" t="s">
        <v>4</v>
      </c>
      <c r="J19" s="134"/>
      <c r="K19" s="134"/>
    </row>
    <row r="20" spans="1:11" ht="19.5" customHeight="1">
      <c r="A20" s="20" t="s">
        <v>11</v>
      </c>
      <c r="B20" s="52">
        <v>112868</v>
      </c>
      <c r="C20" s="52">
        <v>112868</v>
      </c>
      <c r="D20" s="52">
        <v>122040</v>
      </c>
      <c r="E20" s="52">
        <v>112868</v>
      </c>
      <c r="F20" s="52">
        <v>122040</v>
      </c>
      <c r="G20" s="52">
        <v>122040</v>
      </c>
      <c r="H20" s="53">
        <v>122040</v>
      </c>
      <c r="I20" s="134"/>
      <c r="J20" s="134"/>
      <c r="K20" s="134"/>
    </row>
    <row r="21" spans="1:11" ht="19.5" customHeight="1">
      <c r="A21" s="20" t="s">
        <v>10</v>
      </c>
      <c r="B21" s="52">
        <f>16386+2199</f>
        <v>18585</v>
      </c>
      <c r="C21" s="52">
        <f>50417+2199</f>
        <v>52616</v>
      </c>
      <c r="D21" s="52">
        <f>47275+2199</f>
        <v>49474</v>
      </c>
      <c r="E21" s="52">
        <f>50417+2199</f>
        <v>52616</v>
      </c>
      <c r="F21" s="52">
        <f>47275+2199</f>
        <v>49474</v>
      </c>
      <c r="G21" s="52">
        <f>47275+2199</f>
        <v>49474</v>
      </c>
      <c r="H21" s="53">
        <f>47275+2199</f>
        <v>49474</v>
      </c>
      <c r="I21" s="134"/>
      <c r="J21" s="134"/>
      <c r="K21" s="134"/>
    </row>
    <row r="22" spans="1:11" ht="19.5" customHeight="1">
      <c r="A22" s="20" t="s">
        <v>31</v>
      </c>
      <c r="B22" s="26">
        <f>(B20-B21)/365</f>
        <v>258.3095890410959</v>
      </c>
      <c r="C22" s="26">
        <f aca="true" t="shared" si="2" ref="C22:H22">(C20-C21)/365</f>
        <v>165.07397260273973</v>
      </c>
      <c r="D22" s="26">
        <f t="shared" si="2"/>
        <v>198.81095890410958</v>
      </c>
      <c r="E22" s="26">
        <f t="shared" si="2"/>
        <v>165.07397260273973</v>
      </c>
      <c r="F22" s="26">
        <f t="shared" si="2"/>
        <v>198.81095890410958</v>
      </c>
      <c r="G22" s="26">
        <f t="shared" si="2"/>
        <v>198.81095890410958</v>
      </c>
      <c r="H22" s="12">
        <f t="shared" si="2"/>
        <v>198.81095890410958</v>
      </c>
      <c r="I22" s="134"/>
      <c r="J22" s="134"/>
      <c r="K22" s="134"/>
    </row>
    <row r="23" spans="1:11" ht="19.5" customHeight="1">
      <c r="A23" s="38" t="s">
        <v>32</v>
      </c>
      <c r="B23" s="39">
        <f aca="true" t="shared" si="3" ref="B23:G23">ROUND((B22/(1-$B$5)),2)</f>
        <v>276.09</v>
      </c>
      <c r="C23" s="39">
        <f t="shared" si="3"/>
        <v>176.44</v>
      </c>
      <c r="D23" s="39">
        <f t="shared" si="3"/>
        <v>212.5</v>
      </c>
      <c r="E23" s="39">
        <f t="shared" si="3"/>
        <v>176.44</v>
      </c>
      <c r="F23" s="39">
        <f t="shared" si="3"/>
        <v>212.5</v>
      </c>
      <c r="G23" s="39">
        <f t="shared" si="3"/>
        <v>212.5</v>
      </c>
      <c r="H23" s="45">
        <f>ROUND(H22/(1-$B$5),2)</f>
        <v>212.5</v>
      </c>
      <c r="I23" s="134"/>
      <c r="J23" s="134"/>
      <c r="K23" s="134"/>
    </row>
    <row r="24" spans="1:11" ht="19.5" customHeight="1">
      <c r="A24" s="38" t="s">
        <v>33</v>
      </c>
      <c r="B24" s="39"/>
      <c r="C24" s="39"/>
      <c r="D24" s="39"/>
      <c r="E24" s="39"/>
      <c r="F24" s="39"/>
      <c r="G24" s="39"/>
      <c r="H24" s="45"/>
      <c r="I24" s="134"/>
      <c r="J24" s="134"/>
      <c r="K24" s="134"/>
    </row>
    <row r="25" spans="1:11" ht="19.5" customHeight="1">
      <c r="A25" s="20" t="s">
        <v>12</v>
      </c>
      <c r="B25" s="26">
        <f>ROUND(B$23*1.5,2)</f>
        <v>414.14</v>
      </c>
      <c r="C25" s="26">
        <f aca="true" t="shared" si="4" ref="C25:H25">ROUND(C$23*1.5,2)</f>
        <v>264.66</v>
      </c>
      <c r="D25" s="26">
        <f t="shared" si="4"/>
        <v>318.75</v>
      </c>
      <c r="E25" s="26">
        <f t="shared" si="4"/>
        <v>264.66</v>
      </c>
      <c r="F25" s="26">
        <f t="shared" si="4"/>
        <v>318.75</v>
      </c>
      <c r="G25" s="26">
        <f t="shared" si="4"/>
        <v>318.75</v>
      </c>
      <c r="H25" s="46">
        <f t="shared" si="4"/>
        <v>318.75</v>
      </c>
      <c r="I25" s="134"/>
      <c r="J25" s="134"/>
      <c r="K25" s="134"/>
    </row>
    <row r="26" spans="1:11" ht="19.5" customHeight="1">
      <c r="A26" s="20" t="s">
        <v>13</v>
      </c>
      <c r="B26" s="26">
        <f>ROUND(B$23,2)</f>
        <v>276.09</v>
      </c>
      <c r="C26" s="26">
        <f aca="true" t="shared" si="5" ref="C26:H26">ROUND(C$23,2)</f>
        <v>176.44</v>
      </c>
      <c r="D26" s="26">
        <f t="shared" si="5"/>
        <v>212.5</v>
      </c>
      <c r="E26" s="26">
        <f t="shared" si="5"/>
        <v>176.44</v>
      </c>
      <c r="F26" s="26">
        <f t="shared" si="5"/>
        <v>212.5</v>
      </c>
      <c r="G26" s="26">
        <f t="shared" si="5"/>
        <v>212.5</v>
      </c>
      <c r="H26" s="46">
        <f t="shared" si="5"/>
        <v>212.5</v>
      </c>
      <c r="I26" s="134"/>
      <c r="J26" s="134"/>
      <c r="K26" s="134"/>
    </row>
    <row r="27" spans="1:11" ht="19.5" customHeight="1">
      <c r="A27" s="20" t="s">
        <v>14</v>
      </c>
      <c r="B27" s="26">
        <f>ROUND(B$23*0.2,2)</f>
        <v>55.22</v>
      </c>
      <c r="C27" s="26">
        <f aca="true" t="shared" si="6" ref="C27:H27">ROUND(C$23*0.2,2)</f>
        <v>35.29</v>
      </c>
      <c r="D27" s="26">
        <f t="shared" si="6"/>
        <v>42.5</v>
      </c>
      <c r="E27" s="26">
        <f t="shared" si="6"/>
        <v>35.29</v>
      </c>
      <c r="F27" s="26">
        <f t="shared" si="6"/>
        <v>42.5</v>
      </c>
      <c r="G27" s="26">
        <f t="shared" si="6"/>
        <v>42.5</v>
      </c>
      <c r="H27" s="46">
        <f t="shared" si="6"/>
        <v>42.5</v>
      </c>
      <c r="I27" s="134"/>
      <c r="J27" s="134"/>
      <c r="K27" s="134"/>
    </row>
    <row r="28" spans="1:11" ht="19.5" customHeight="1">
      <c r="A28" s="20" t="s">
        <v>15</v>
      </c>
      <c r="B28" s="25">
        <f>ROUND(B$18*(1+$B$4-3%)/(1+$B$4)-B19,1)</f>
        <v>126936.5</v>
      </c>
      <c r="C28" s="25">
        <f aca="true" t="shared" si="7" ref="C28:H28">ROUND(C$18*(1+$B$4-3%)/(1+$B$4)-C19,1)</f>
        <v>68589</v>
      </c>
      <c r="D28" s="25">
        <f t="shared" si="7"/>
        <v>38185.8</v>
      </c>
      <c r="E28" s="25">
        <f t="shared" si="7"/>
        <v>16382.3</v>
      </c>
      <c r="F28" s="25">
        <f t="shared" si="7"/>
        <v>12789</v>
      </c>
      <c r="G28" s="25">
        <f t="shared" si="7"/>
        <v>6023.9</v>
      </c>
      <c r="H28" s="8">
        <f t="shared" si="7"/>
        <v>2892.6</v>
      </c>
      <c r="I28" s="134"/>
      <c r="J28" s="134"/>
      <c r="K28" s="134"/>
    </row>
    <row r="29" spans="1:11" ht="19.5" customHeight="1">
      <c r="A29" s="20" t="s">
        <v>16</v>
      </c>
      <c r="B29" s="25">
        <f>ROUND(B$18*(1+$B$4+1%)/(1+$B$4)-B19,1)</f>
        <v>131540</v>
      </c>
      <c r="C29" s="25">
        <f aca="true" t="shared" si="8" ref="C29:H29">ROUND(C$18*(1+$B$4+1%)/(1+$B$4)-C19,1)</f>
        <v>71071.8</v>
      </c>
      <c r="D29" s="25">
        <f t="shared" si="8"/>
        <v>39567.7</v>
      </c>
      <c r="E29" s="25">
        <f t="shared" si="8"/>
        <v>16975.1</v>
      </c>
      <c r="F29" s="25">
        <f t="shared" si="8"/>
        <v>13251.7</v>
      </c>
      <c r="G29" s="25">
        <f t="shared" si="8"/>
        <v>6241.6</v>
      </c>
      <c r="H29" s="8">
        <f t="shared" si="8"/>
        <v>2997.1</v>
      </c>
      <c r="I29" s="134"/>
      <c r="J29" s="134"/>
      <c r="K29" s="134"/>
    </row>
    <row r="30" spans="1:11" ht="19.5" customHeight="1">
      <c r="A30" s="20" t="s">
        <v>17</v>
      </c>
      <c r="B30" s="25">
        <f>ROUND(B$18*(1+$B$4+5%)/(1+$B$4)-B19,1)</f>
        <v>136143.5</v>
      </c>
      <c r="C30" s="25">
        <f aca="true" t="shared" si="9" ref="C30:H30">ROUND(C$18*(1+$B$4+5%)/(1+$B$4)-C19,1)</f>
        <v>73554.6</v>
      </c>
      <c r="D30" s="25">
        <f t="shared" si="9"/>
        <v>40949.6</v>
      </c>
      <c r="E30" s="25">
        <f t="shared" si="9"/>
        <v>17567.9</v>
      </c>
      <c r="F30" s="25">
        <f t="shared" si="9"/>
        <v>13714.3</v>
      </c>
      <c r="G30" s="25">
        <f t="shared" si="9"/>
        <v>6459.3</v>
      </c>
      <c r="H30" s="8">
        <f t="shared" si="9"/>
        <v>3101.6</v>
      </c>
      <c r="I30" s="134"/>
      <c r="J30" s="134"/>
      <c r="K30" s="134"/>
    </row>
    <row r="31" spans="1:11" ht="19.5" customHeight="1" thickBot="1">
      <c r="A31" s="22" t="s">
        <v>22</v>
      </c>
      <c r="B31" s="40" t="s">
        <v>9</v>
      </c>
      <c r="C31" s="27">
        <f>ROUND((C15-C14)/(F61*$B$6),3)</f>
        <v>0.982</v>
      </c>
      <c r="D31" s="27">
        <f>ROUND((D15-D14)/(F58*$B$6),3)</f>
        <v>0.842</v>
      </c>
      <c r="E31" s="27">
        <f>ROUND((E15-E14)/(F59*$B$6),3)</f>
        <v>0.625</v>
      </c>
      <c r="F31" s="27">
        <f>ROUND((F15-F14)/(F55*$B$6),3)</f>
        <v>0.584</v>
      </c>
      <c r="G31" s="27">
        <f>ROUND((G15-G14)/(F56*$B$6),3)</f>
        <v>0.652</v>
      </c>
      <c r="H31" s="13">
        <f>ROUND((H15-H14)/(F48*$B$6),3)</f>
        <v>0.503</v>
      </c>
      <c r="I31" s="134"/>
      <c r="J31" s="134"/>
      <c r="K31" s="134"/>
    </row>
    <row r="32" spans="1:12" ht="19.5" customHeight="1" thickBot="1">
      <c r="A32" s="23" t="s">
        <v>34</v>
      </c>
      <c r="B32" s="41" t="s">
        <v>9</v>
      </c>
      <c r="C32" s="28">
        <v>159</v>
      </c>
      <c r="D32" s="31" t="s">
        <v>9</v>
      </c>
      <c r="E32" s="32" t="s">
        <v>9</v>
      </c>
      <c r="F32" s="33" t="s">
        <v>9</v>
      </c>
      <c r="G32" s="33" t="s">
        <v>9</v>
      </c>
      <c r="H32" s="14" t="s">
        <v>9</v>
      </c>
      <c r="L32" s="135" t="s">
        <v>4</v>
      </c>
    </row>
    <row r="33" spans="1:12" ht="19.5" customHeight="1" thickBot="1">
      <c r="A33" s="67"/>
      <c r="B33" s="68"/>
      <c r="C33" s="69"/>
      <c r="D33" s="70"/>
      <c r="E33" s="71"/>
      <c r="F33" s="72"/>
      <c r="G33" s="72"/>
      <c r="H33" s="84"/>
      <c r="L33" s="135"/>
    </row>
    <row r="34" spans="1:9" ht="19.5" customHeight="1">
      <c r="A34" s="266" t="s">
        <v>48</v>
      </c>
      <c r="B34" s="267"/>
      <c r="C34" s="267"/>
      <c r="D34" s="267"/>
      <c r="E34" s="267"/>
      <c r="F34" s="267"/>
      <c r="G34" s="267"/>
      <c r="H34" s="268"/>
      <c r="I34" s="136" t="s">
        <v>4</v>
      </c>
    </row>
    <row r="35" spans="1:9" ht="19.5" customHeight="1">
      <c r="A35" s="269" t="s">
        <v>49</v>
      </c>
      <c r="B35" s="270"/>
      <c r="C35" s="270"/>
      <c r="D35" s="270"/>
      <c r="E35" s="270"/>
      <c r="F35" s="270"/>
      <c r="G35" s="270"/>
      <c r="H35" s="271"/>
      <c r="I35" s="136"/>
    </row>
    <row r="36" spans="1:9" ht="18" customHeight="1" thickBot="1">
      <c r="A36" s="272" t="s">
        <v>50</v>
      </c>
      <c r="B36" s="273"/>
      <c r="C36" s="273"/>
      <c r="D36" s="273"/>
      <c r="E36" s="273"/>
      <c r="F36" s="273"/>
      <c r="G36" s="273"/>
      <c r="H36" s="274"/>
      <c r="I36" s="136" t="s">
        <v>4</v>
      </c>
    </row>
    <row r="37" spans="1:12" s="137" customFormat="1" ht="64.5" customHeight="1" thickBot="1">
      <c r="A37" s="85" t="s">
        <v>51</v>
      </c>
      <c r="B37" s="86" t="s">
        <v>1</v>
      </c>
      <c r="C37" s="86" t="s">
        <v>3</v>
      </c>
      <c r="D37" s="86" t="s">
        <v>52</v>
      </c>
      <c r="E37" s="86" t="s">
        <v>53</v>
      </c>
      <c r="F37" s="86" t="s">
        <v>54</v>
      </c>
      <c r="G37" s="86" t="s">
        <v>55</v>
      </c>
      <c r="H37" s="87" t="s">
        <v>26</v>
      </c>
      <c r="I37" s="88" t="s">
        <v>56</v>
      </c>
      <c r="L37" s="138" t="s">
        <v>4</v>
      </c>
    </row>
    <row r="38" spans="1:12" s="137" customFormat="1" ht="19.5" customHeight="1">
      <c r="A38" s="89" t="s">
        <v>5</v>
      </c>
      <c r="B38" s="90" t="s">
        <v>9</v>
      </c>
      <c r="C38" s="90" t="s">
        <v>9</v>
      </c>
      <c r="D38" s="91" t="s">
        <v>9</v>
      </c>
      <c r="E38" s="91">
        <f>E39+E40+E41+E42+E43+E44+E45+E46+E47+E49+E50+E51+E52+E53+E54+E55+E57</f>
        <v>136550</v>
      </c>
      <c r="F38" s="91">
        <f>F39+F40+F41+F42+F43+F44+F45+F46+F47+F49+F50+F51+F52+F53+F54+F55+F57</f>
        <v>144857</v>
      </c>
      <c r="G38" s="92" t="s">
        <v>9</v>
      </c>
      <c r="H38" s="93">
        <f>B19</f>
        <v>3343.3</v>
      </c>
      <c r="I38" s="94">
        <f>I39+I40+I41+I42+I43+I44+I45+I46+I47+I49+I50+I51+I52+I53+I54+I55+I57</f>
        <v>123006.2</v>
      </c>
      <c r="L38" s="49" t="s">
        <v>4</v>
      </c>
    </row>
    <row r="39" spans="1:9" s="2" customFormat="1" ht="19.5" customHeight="1">
      <c r="A39" s="95" t="s">
        <v>57</v>
      </c>
      <c r="B39" s="96">
        <v>1850</v>
      </c>
      <c r="C39" s="97" t="s">
        <v>58</v>
      </c>
      <c r="D39" s="98" t="s">
        <v>59</v>
      </c>
      <c r="E39" s="98">
        <v>2650</v>
      </c>
      <c r="F39" s="98">
        <v>3006</v>
      </c>
      <c r="G39" s="99">
        <f aca="true" t="shared" si="10" ref="G39:G47">ROUND(F39/E39,5)</f>
        <v>1.13434</v>
      </c>
      <c r="H39" s="100">
        <f aca="true" t="shared" si="11" ref="H39:H57">$H$38*I39/$I$38</f>
        <v>81.7028718877585</v>
      </c>
      <c r="I39" s="101">
        <v>3006</v>
      </c>
    </row>
    <row r="40" spans="1:12" s="2" customFormat="1" ht="19.5" customHeight="1">
      <c r="A40" s="102" t="s">
        <v>60</v>
      </c>
      <c r="B40" s="103" t="s">
        <v>61</v>
      </c>
      <c r="C40" s="104" t="s">
        <v>61</v>
      </c>
      <c r="D40" s="105" t="s">
        <v>9</v>
      </c>
      <c r="E40" s="105">
        <f>23180+54+181</f>
        <v>23415</v>
      </c>
      <c r="F40" s="105">
        <f>24072+56+188</f>
        <v>24316</v>
      </c>
      <c r="G40" s="99">
        <f t="shared" si="10"/>
        <v>1.03848</v>
      </c>
      <c r="H40" s="100">
        <f t="shared" si="11"/>
        <v>72.35569369674049</v>
      </c>
      <c r="I40" s="106">
        <v>2662.1</v>
      </c>
      <c r="L40" s="49" t="s">
        <v>4</v>
      </c>
    </row>
    <row r="41" spans="1:9" s="2" customFormat="1" ht="19.5" customHeight="1">
      <c r="A41" s="102" t="s">
        <v>62</v>
      </c>
      <c r="B41" s="103">
        <v>890</v>
      </c>
      <c r="C41" s="104" t="s">
        <v>63</v>
      </c>
      <c r="D41" s="98" t="s">
        <v>59</v>
      </c>
      <c r="E41" s="105">
        <v>8090</v>
      </c>
      <c r="F41" s="105">
        <v>8784</v>
      </c>
      <c r="G41" s="99">
        <f t="shared" si="10"/>
        <v>1.08578</v>
      </c>
      <c r="H41" s="100">
        <f t="shared" si="11"/>
        <v>238.74851186362966</v>
      </c>
      <c r="I41" s="106">
        <v>8784</v>
      </c>
    </row>
    <row r="42" spans="1:9" s="2" customFormat="1" ht="19.5" customHeight="1">
      <c r="A42" s="95" t="s">
        <v>64</v>
      </c>
      <c r="B42" s="96">
        <v>4480</v>
      </c>
      <c r="C42" s="97" t="s">
        <v>65</v>
      </c>
      <c r="D42" s="98" t="s">
        <v>59</v>
      </c>
      <c r="E42" s="98">
        <v>6980</v>
      </c>
      <c r="F42" s="98">
        <v>7480</v>
      </c>
      <c r="G42" s="99">
        <f t="shared" si="10"/>
        <v>1.07163</v>
      </c>
      <c r="H42" s="100">
        <f t="shared" si="11"/>
        <v>203.30588214252614</v>
      </c>
      <c r="I42" s="101">
        <v>7480</v>
      </c>
    </row>
    <row r="43" spans="1:12" s="2" customFormat="1" ht="19.5" customHeight="1">
      <c r="A43" s="95" t="s">
        <v>66</v>
      </c>
      <c r="B43" s="96">
        <v>3580</v>
      </c>
      <c r="C43" s="97" t="s">
        <v>67</v>
      </c>
      <c r="D43" s="98" t="s">
        <v>59</v>
      </c>
      <c r="E43" s="98">
        <v>22340</v>
      </c>
      <c r="F43" s="98">
        <v>23863</v>
      </c>
      <c r="G43" s="99">
        <f t="shared" si="10"/>
        <v>1.06817</v>
      </c>
      <c r="H43" s="100">
        <f t="shared" si="11"/>
        <v>643.2429595418768</v>
      </c>
      <c r="I43" s="101">
        <v>23666.1</v>
      </c>
      <c r="L43" s="49" t="s">
        <v>4</v>
      </c>
    </row>
    <row r="44" spans="1:12" s="2" customFormat="1" ht="19.5" customHeight="1">
      <c r="A44" s="95" t="s">
        <v>68</v>
      </c>
      <c r="B44" s="96">
        <v>820</v>
      </c>
      <c r="C44" s="97" t="s">
        <v>69</v>
      </c>
      <c r="D44" s="98" t="s">
        <v>59</v>
      </c>
      <c r="E44" s="98">
        <v>3320</v>
      </c>
      <c r="F44" s="98">
        <v>3547</v>
      </c>
      <c r="G44" s="99">
        <f t="shared" si="10"/>
        <v>1.06837</v>
      </c>
      <c r="H44" s="100">
        <f t="shared" si="11"/>
        <v>96.40721443309363</v>
      </c>
      <c r="I44" s="101">
        <v>3547</v>
      </c>
      <c r="L44" s="49" t="s">
        <v>4</v>
      </c>
    </row>
    <row r="45" spans="1:9" s="2" customFormat="1" ht="19.5" customHeight="1">
      <c r="A45" s="95" t="s">
        <v>70</v>
      </c>
      <c r="B45" s="96">
        <v>960</v>
      </c>
      <c r="C45" s="97" t="s">
        <v>71</v>
      </c>
      <c r="D45" s="98" t="s">
        <v>59</v>
      </c>
      <c r="E45" s="98">
        <v>2810</v>
      </c>
      <c r="F45" s="98">
        <v>2852</v>
      </c>
      <c r="G45" s="99">
        <f t="shared" si="10"/>
        <v>1.01495</v>
      </c>
      <c r="H45" s="100">
        <f t="shared" si="11"/>
        <v>77.51716254953003</v>
      </c>
      <c r="I45" s="101">
        <v>2852</v>
      </c>
    </row>
    <row r="46" spans="1:12" s="2" customFormat="1" ht="19.5" customHeight="1">
      <c r="A46" s="95" t="s">
        <v>72</v>
      </c>
      <c r="B46" s="96">
        <v>1570</v>
      </c>
      <c r="C46" s="97" t="s">
        <v>73</v>
      </c>
      <c r="D46" s="98" t="s">
        <v>59</v>
      </c>
      <c r="E46" s="98">
        <v>18510</v>
      </c>
      <c r="F46" s="98">
        <v>19908</v>
      </c>
      <c r="G46" s="99">
        <f t="shared" si="10"/>
        <v>1.07553</v>
      </c>
      <c r="H46" s="100">
        <f t="shared" si="11"/>
        <v>541.098061723718</v>
      </c>
      <c r="I46" s="101">
        <v>19908</v>
      </c>
      <c r="L46" s="49" t="s">
        <v>4</v>
      </c>
    </row>
    <row r="47" spans="1:12" s="2" customFormat="1" ht="19.5" customHeight="1">
      <c r="A47" s="95" t="s">
        <v>74</v>
      </c>
      <c r="B47" s="96">
        <v>1360</v>
      </c>
      <c r="C47" s="97" t="s">
        <v>75</v>
      </c>
      <c r="D47" s="98" t="s">
        <v>59</v>
      </c>
      <c r="E47" s="98">
        <v>3860</v>
      </c>
      <c r="F47" s="98">
        <v>4132</v>
      </c>
      <c r="G47" s="99">
        <f t="shared" si="10"/>
        <v>1.07047</v>
      </c>
      <c r="H47" s="100">
        <f t="shared" si="11"/>
        <v>112.30747393220831</v>
      </c>
      <c r="I47" s="101">
        <v>4132</v>
      </c>
      <c r="L47" s="2" t="s">
        <v>4</v>
      </c>
    </row>
    <row r="48" spans="1:9" s="2" customFormat="1" ht="19.5" customHeight="1">
      <c r="A48" s="95" t="s">
        <v>76</v>
      </c>
      <c r="B48" s="96">
        <v>1520</v>
      </c>
      <c r="C48" s="107">
        <v>1746</v>
      </c>
      <c r="D48" s="108">
        <f>C48/B48</f>
        <v>1.1486842105263158</v>
      </c>
      <c r="E48" s="98" t="s">
        <v>9</v>
      </c>
      <c r="F48" s="98">
        <f>F47*0.5699</f>
        <v>2354.8268</v>
      </c>
      <c r="G48" s="99" t="s">
        <v>9</v>
      </c>
      <c r="H48" s="100">
        <f t="shared" si="11"/>
        <v>64.00402939396551</v>
      </c>
      <c r="I48" s="101">
        <f>I47*0.5699</f>
        <v>2354.8268</v>
      </c>
    </row>
    <row r="49" spans="1:9" s="2" customFormat="1" ht="19.5" customHeight="1">
      <c r="A49" s="95" t="s">
        <v>77</v>
      </c>
      <c r="B49" s="96">
        <v>4350</v>
      </c>
      <c r="C49" s="97" t="s">
        <v>78</v>
      </c>
      <c r="D49" s="98" t="s">
        <v>59</v>
      </c>
      <c r="E49" s="98">
        <v>6120</v>
      </c>
      <c r="F49" s="98">
        <v>6654</v>
      </c>
      <c r="G49" s="99">
        <f aca="true" t="shared" si="12" ref="G49:G55">ROUND(F49/E49,5)</f>
        <v>1.08725</v>
      </c>
      <c r="H49" s="100">
        <f t="shared" si="11"/>
        <v>180.8552593283916</v>
      </c>
      <c r="I49" s="101">
        <v>6654</v>
      </c>
    </row>
    <row r="50" spans="1:9" s="2" customFormat="1" ht="19.5" customHeight="1">
      <c r="A50" s="95" t="s">
        <v>79</v>
      </c>
      <c r="B50" s="96">
        <v>620</v>
      </c>
      <c r="C50" s="97" t="s">
        <v>80</v>
      </c>
      <c r="D50" s="98" t="s">
        <v>59</v>
      </c>
      <c r="E50" s="98">
        <v>2760</v>
      </c>
      <c r="F50" s="98">
        <v>2959</v>
      </c>
      <c r="G50" s="99">
        <f t="shared" si="12"/>
        <v>1.0721</v>
      </c>
      <c r="H50" s="100">
        <f t="shared" si="11"/>
        <v>80.4254151416758</v>
      </c>
      <c r="I50" s="101">
        <v>2959</v>
      </c>
    </row>
    <row r="51" spans="1:9" s="2" customFormat="1" ht="19.5" customHeight="1">
      <c r="A51" s="95" t="s">
        <v>81</v>
      </c>
      <c r="B51" s="96">
        <v>2020</v>
      </c>
      <c r="C51" s="97" t="s">
        <v>82</v>
      </c>
      <c r="D51" s="98" t="s">
        <v>59</v>
      </c>
      <c r="E51" s="98">
        <v>8360</v>
      </c>
      <c r="F51" s="98">
        <v>8567</v>
      </c>
      <c r="G51" s="99">
        <f t="shared" si="12"/>
        <v>1.02476</v>
      </c>
      <c r="H51" s="100">
        <f t="shared" si="11"/>
        <v>232.85046688703497</v>
      </c>
      <c r="I51" s="101">
        <v>8567</v>
      </c>
    </row>
    <row r="52" spans="1:9" s="2" customFormat="1" ht="19.5" customHeight="1">
      <c r="A52" s="95" t="s">
        <v>83</v>
      </c>
      <c r="B52" s="96">
        <v>510</v>
      </c>
      <c r="C52" s="97" t="s">
        <v>84</v>
      </c>
      <c r="D52" s="98" t="s">
        <v>59</v>
      </c>
      <c r="E52" s="98">
        <v>2710</v>
      </c>
      <c r="F52" s="98">
        <v>2816</v>
      </c>
      <c r="G52" s="99">
        <f t="shared" si="12"/>
        <v>1.03911</v>
      </c>
      <c r="H52" s="100">
        <f t="shared" si="11"/>
        <v>76.53868504189221</v>
      </c>
      <c r="I52" s="101">
        <v>2816</v>
      </c>
    </row>
    <row r="53" spans="1:9" s="2" customFormat="1" ht="19.5" customHeight="1">
      <c r="A53" s="95" t="s">
        <v>85</v>
      </c>
      <c r="B53" s="96">
        <v>3770</v>
      </c>
      <c r="C53" s="97" t="s">
        <v>86</v>
      </c>
      <c r="D53" s="98" t="s">
        <v>59</v>
      </c>
      <c r="E53" s="98">
        <v>6670</v>
      </c>
      <c r="F53" s="98">
        <v>6983</v>
      </c>
      <c r="G53" s="99">
        <f t="shared" si="12"/>
        <v>1.04693</v>
      </c>
      <c r="H53" s="100">
        <f t="shared" si="11"/>
        <v>189.79745655097062</v>
      </c>
      <c r="I53" s="101">
        <v>6983</v>
      </c>
    </row>
    <row r="54" spans="1:9" s="2" customFormat="1" ht="19.5" customHeight="1">
      <c r="A54" s="95" t="s">
        <v>87</v>
      </c>
      <c r="B54" s="96">
        <v>670</v>
      </c>
      <c r="C54" s="97" t="s">
        <v>88</v>
      </c>
      <c r="D54" s="98" t="s">
        <v>59</v>
      </c>
      <c r="E54" s="98">
        <f>6920+185</f>
        <v>7105</v>
      </c>
      <c r="F54" s="98">
        <f>7207+191</f>
        <v>7398</v>
      </c>
      <c r="G54" s="99">
        <f t="shared" si="12"/>
        <v>1.04124</v>
      </c>
      <c r="H54" s="100">
        <f t="shared" si="11"/>
        <v>201.07712781957335</v>
      </c>
      <c r="I54" s="101">
        <f>7207+191</f>
        <v>7398</v>
      </c>
    </row>
    <row r="55" spans="1:9" s="2" customFormat="1" ht="19.5" customHeight="1">
      <c r="A55" s="95" t="s">
        <v>0</v>
      </c>
      <c r="B55" s="96">
        <v>6290</v>
      </c>
      <c r="C55" s="107">
        <v>6356</v>
      </c>
      <c r="D55" s="108">
        <f>C55/B55</f>
        <v>1.0104928457869635</v>
      </c>
      <c r="E55" s="98">
        <v>10440</v>
      </c>
      <c r="F55" s="98">
        <v>11149</v>
      </c>
      <c r="G55" s="99">
        <f t="shared" si="12"/>
        <v>1.06791</v>
      </c>
      <c r="H55" s="100">
        <f t="shared" si="11"/>
        <v>303.0290481292813</v>
      </c>
      <c r="I55" s="101">
        <v>11149</v>
      </c>
    </row>
    <row r="56" spans="1:12" s="2" customFormat="1" ht="19.5" customHeight="1">
      <c r="A56" s="95" t="s">
        <v>89</v>
      </c>
      <c r="B56" s="96">
        <v>2720</v>
      </c>
      <c r="C56" s="107">
        <v>2755</v>
      </c>
      <c r="D56" s="108">
        <f>C56/B56</f>
        <v>1.0128676470588236</v>
      </c>
      <c r="E56" s="98" t="s">
        <v>9</v>
      </c>
      <c r="F56" s="98">
        <f>F55*0.4513</f>
        <v>5031.5437</v>
      </c>
      <c r="G56" s="99" t="s">
        <v>9</v>
      </c>
      <c r="H56" s="100">
        <f t="shared" si="11"/>
        <v>136.75700942074468</v>
      </c>
      <c r="I56" s="101">
        <f>I55*0.4513</f>
        <v>5031.5437</v>
      </c>
      <c r="L56" s="2" t="s">
        <v>4</v>
      </c>
    </row>
    <row r="57" spans="1:9" s="2" customFormat="1" ht="19.5" customHeight="1" thickBot="1">
      <c r="A57" s="95" t="s">
        <v>90</v>
      </c>
      <c r="B57" s="96" t="s">
        <v>9</v>
      </c>
      <c r="C57" s="97" t="s">
        <v>9</v>
      </c>
      <c r="D57" s="98" t="s">
        <v>9</v>
      </c>
      <c r="E57" s="98">
        <v>410</v>
      </c>
      <c r="F57" s="98">
        <v>443</v>
      </c>
      <c r="G57" s="99">
        <f>ROUND(F57/E57,5)</f>
        <v>1.08049</v>
      </c>
      <c r="H57" s="100">
        <f t="shared" si="11"/>
        <v>12.04070933009881</v>
      </c>
      <c r="I57" s="109">
        <v>443</v>
      </c>
    </row>
    <row r="58" spans="1:9" s="2" customFormat="1" ht="19.5" customHeight="1">
      <c r="A58" s="95" t="s">
        <v>7</v>
      </c>
      <c r="B58" s="96">
        <v>7440</v>
      </c>
      <c r="C58" s="107">
        <v>9079</v>
      </c>
      <c r="D58" s="108">
        <f>C58/B58</f>
        <v>1.220295698924731</v>
      </c>
      <c r="E58" s="98" t="s">
        <v>9</v>
      </c>
      <c r="F58" s="98">
        <f>F39+F47+F49+F51+F55+F57</f>
        <v>33951</v>
      </c>
      <c r="G58" s="110" t="s">
        <v>9</v>
      </c>
      <c r="H58" s="100" t="s">
        <v>9</v>
      </c>
      <c r="I58" s="111" t="s">
        <v>91</v>
      </c>
    </row>
    <row r="59" spans="1:9" s="2" customFormat="1" ht="19.5" customHeight="1">
      <c r="A59" s="95" t="s">
        <v>6</v>
      </c>
      <c r="B59" s="96">
        <v>5990</v>
      </c>
      <c r="C59" s="107">
        <v>7400</v>
      </c>
      <c r="D59" s="108">
        <f>C59/B59</f>
        <v>1.2353923205342237</v>
      </c>
      <c r="E59" s="98" t="s">
        <v>9</v>
      </c>
      <c r="F59" s="98">
        <f>F42+F53</f>
        <v>14463</v>
      </c>
      <c r="G59" s="110" t="s">
        <v>9</v>
      </c>
      <c r="H59" s="100" t="s">
        <v>9</v>
      </c>
      <c r="I59" s="111" t="s">
        <v>92</v>
      </c>
    </row>
    <row r="60" spans="1:9" s="2" customFormat="1" ht="19.5" customHeight="1">
      <c r="A60" s="102" t="s">
        <v>93</v>
      </c>
      <c r="B60" s="103" t="s">
        <v>61</v>
      </c>
      <c r="C60" s="104" t="s">
        <v>61</v>
      </c>
      <c r="D60" s="98" t="s">
        <v>9</v>
      </c>
      <c r="E60" s="98" t="s">
        <v>9</v>
      </c>
      <c r="F60" s="98">
        <f>F50+F52+F54</f>
        <v>13173</v>
      </c>
      <c r="G60" s="110" t="s">
        <v>9</v>
      </c>
      <c r="H60" s="100" t="s">
        <v>9</v>
      </c>
      <c r="I60" s="111" t="s">
        <v>94</v>
      </c>
    </row>
    <row r="61" spans="1:9" s="2" customFormat="1" ht="19.5" customHeight="1">
      <c r="A61" s="95" t="s">
        <v>8</v>
      </c>
      <c r="B61" s="96">
        <v>5600</v>
      </c>
      <c r="C61" s="107">
        <v>6377</v>
      </c>
      <c r="D61" s="108">
        <f>C61/B61</f>
        <v>1.13875</v>
      </c>
      <c r="E61" s="98" t="s">
        <v>9</v>
      </c>
      <c r="F61" s="98">
        <f>F58+F59+F60</f>
        <v>61587</v>
      </c>
      <c r="G61" s="110" t="s">
        <v>9</v>
      </c>
      <c r="H61" s="100" t="s">
        <v>9</v>
      </c>
      <c r="I61" s="111" t="s">
        <v>95</v>
      </c>
    </row>
    <row r="62" spans="1:9" s="2" customFormat="1" ht="19.5" customHeight="1" thickBot="1">
      <c r="A62" s="112" t="s">
        <v>96</v>
      </c>
      <c r="B62" s="113" t="s">
        <v>61</v>
      </c>
      <c r="C62" s="114" t="s">
        <v>61</v>
      </c>
      <c r="D62" s="115" t="s">
        <v>9</v>
      </c>
      <c r="E62" s="115" t="s">
        <v>9</v>
      </c>
      <c r="F62" s="115">
        <f>F40+F41+F43+F44+F45</f>
        <v>63362</v>
      </c>
      <c r="G62" s="116" t="s">
        <v>9</v>
      </c>
      <c r="H62" s="117" t="s">
        <v>9</v>
      </c>
      <c r="I62" s="118" t="s">
        <v>97</v>
      </c>
    </row>
    <row r="63" spans="1:8" ht="15">
      <c r="A63" s="139" t="s">
        <v>4</v>
      </c>
      <c r="B63" s="140" t="s">
        <v>98</v>
      </c>
      <c r="C63" s="34" t="s">
        <v>4</v>
      </c>
      <c r="D63" s="141"/>
      <c r="E63" s="141"/>
      <c r="F63" s="141"/>
      <c r="G63" s="141"/>
      <c r="H63" s="142"/>
    </row>
    <row r="64" spans="1:8" ht="16.5" thickBot="1">
      <c r="A64" s="119" t="s">
        <v>99</v>
      </c>
      <c r="B64" s="120"/>
      <c r="C64" s="120"/>
      <c r="D64" s="120"/>
      <c r="E64" s="120"/>
      <c r="F64" s="120"/>
      <c r="G64" s="120"/>
      <c r="H64" s="142"/>
    </row>
    <row r="65" spans="1:8" ht="15.75">
      <c r="A65" s="121" t="s">
        <v>25</v>
      </c>
      <c r="B65" s="275" t="s">
        <v>100</v>
      </c>
      <c r="C65" s="247"/>
      <c r="D65" s="247"/>
      <c r="E65" s="247"/>
      <c r="F65" s="247"/>
      <c r="G65" s="247"/>
      <c r="H65" s="126"/>
    </row>
    <row r="66" spans="1:8" ht="15">
      <c r="A66" s="122" t="s">
        <v>28</v>
      </c>
      <c r="B66" s="276" t="s">
        <v>101</v>
      </c>
      <c r="C66" s="277"/>
      <c r="D66" s="277"/>
      <c r="E66" s="277"/>
      <c r="F66" s="277"/>
      <c r="G66" s="277"/>
      <c r="H66" s="278"/>
    </row>
    <row r="67" spans="1:8" ht="15">
      <c r="A67" s="122" t="s">
        <v>102</v>
      </c>
      <c r="B67" s="276" t="s">
        <v>103</v>
      </c>
      <c r="C67" s="277"/>
      <c r="D67" s="277"/>
      <c r="E67" s="277"/>
      <c r="F67" s="277"/>
      <c r="G67" s="277"/>
      <c r="H67" s="278"/>
    </row>
    <row r="68" spans="1:8" ht="15">
      <c r="A68" s="122" t="s">
        <v>7</v>
      </c>
      <c r="B68" s="276" t="s">
        <v>104</v>
      </c>
      <c r="C68" s="277"/>
      <c r="D68" s="277"/>
      <c r="E68" s="277"/>
      <c r="F68" s="277"/>
      <c r="G68" s="277"/>
      <c r="H68" s="278"/>
    </row>
    <row r="69" spans="1:8" ht="15">
      <c r="A69" s="122" t="s">
        <v>6</v>
      </c>
      <c r="B69" s="276" t="s">
        <v>105</v>
      </c>
      <c r="C69" s="277"/>
      <c r="D69" s="277"/>
      <c r="E69" s="277"/>
      <c r="F69" s="277"/>
      <c r="G69" s="277"/>
      <c r="H69" s="278"/>
    </row>
    <row r="70" spans="1:8" ht="15.75" thickBot="1">
      <c r="A70" s="123" t="s">
        <v>8</v>
      </c>
      <c r="B70" s="279" t="s">
        <v>106</v>
      </c>
      <c r="C70" s="280"/>
      <c r="D70" s="280"/>
      <c r="E70" s="280"/>
      <c r="F70" s="280"/>
      <c r="G70" s="280"/>
      <c r="H70" s="281"/>
    </row>
    <row r="71" ht="15">
      <c r="A71" s="2"/>
    </row>
    <row r="72" ht="15">
      <c r="A72" s="2"/>
    </row>
    <row r="73" spans="1:9" ht="15">
      <c r="A73" s="2"/>
      <c r="B73" s="143" t="s">
        <v>4</v>
      </c>
      <c r="C73" s="143" t="s">
        <v>4</v>
      </c>
      <c r="D73" s="143" t="s">
        <v>4</v>
      </c>
      <c r="E73" s="143" t="s">
        <v>4</v>
      </c>
      <c r="F73" s="143" t="s">
        <v>4</v>
      </c>
      <c r="G73" s="143" t="s">
        <v>4</v>
      </c>
      <c r="H73" s="143" t="s">
        <v>4</v>
      </c>
      <c r="I73" s="143" t="s">
        <v>4</v>
      </c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</sheetData>
  <sheetProtection/>
  <mergeCells count="12">
    <mergeCell ref="B65:G65"/>
    <mergeCell ref="B66:H66"/>
    <mergeCell ref="B67:H67"/>
    <mergeCell ref="B68:H68"/>
    <mergeCell ref="B69:H69"/>
    <mergeCell ref="B70:H70"/>
    <mergeCell ref="C3:H3"/>
    <mergeCell ref="C5:H5"/>
    <mergeCell ref="C11:H11"/>
    <mergeCell ref="A34:H34"/>
    <mergeCell ref="A35:H35"/>
    <mergeCell ref="A36:H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Jeffrey Bastian</cp:lastModifiedBy>
  <cp:lastPrinted>2012-01-24T20:35:03Z</cp:lastPrinted>
  <dcterms:created xsi:type="dcterms:W3CDTF">2007-01-26T13:56:48Z</dcterms:created>
  <dcterms:modified xsi:type="dcterms:W3CDTF">2012-03-09T20:57:53Z</dcterms:modified>
  <cp:category/>
  <cp:version/>
  <cp:contentType/>
  <cp:contentStatus/>
</cp:coreProperties>
</file>